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Arbeit" sheetId="27" r:id="rId1"/>
    <sheet name="Ausbildung" sheetId="31" r:id="rId2"/>
    <sheet name="zu Hause" sheetId="32" r:id="rId3"/>
    <sheet name="Uebersetzungen" sheetId="29" state="hidden" r:id="rId4"/>
  </sheets>
  <definedNames>
    <definedName name="_xlnm.Print_Area" localSheetId="0">Arbeit!$A$1:$W$58</definedName>
    <definedName name="_xlnm.Print_Area" localSheetId="1">Ausbildung!$A$1:$W$57</definedName>
    <definedName name="_xlnm.Print_Area" localSheetId="2">'zu Hause'!$A$1:$U$57</definedName>
  </definedNames>
  <calcPr calcId="162913"/>
</workbook>
</file>

<file path=xl/calcChain.xml><?xml version="1.0" encoding="utf-8"?>
<calcChain xmlns="http://schemas.openxmlformats.org/spreadsheetml/2006/main">
  <c r="E13" i="31" l="1"/>
  <c r="A10" i="32"/>
  <c r="A9" i="32"/>
  <c r="A57" i="32"/>
  <c r="A56" i="32"/>
  <c r="A54" i="32"/>
  <c r="A53" i="32"/>
  <c r="A52" i="32"/>
  <c r="A51" i="32"/>
  <c r="A50" i="32"/>
  <c r="B48" i="32"/>
  <c r="B47" i="32"/>
  <c r="B46" i="32"/>
  <c r="A46" i="32"/>
  <c r="B45" i="32"/>
  <c r="B44" i="32"/>
  <c r="B43" i="32"/>
  <c r="B42" i="32"/>
  <c r="B41" i="32"/>
  <c r="B40" i="32"/>
  <c r="B39" i="32"/>
  <c r="B38" i="32"/>
  <c r="B37" i="32"/>
  <c r="B36" i="32"/>
  <c r="B35" i="32"/>
  <c r="A35" i="32"/>
  <c r="B34" i="32"/>
  <c r="B33" i="32"/>
  <c r="B32" i="32"/>
  <c r="A32" i="32"/>
  <c r="B31" i="32"/>
  <c r="B30" i="32"/>
  <c r="B29" i="32"/>
  <c r="B28" i="32"/>
  <c r="B27" i="32"/>
  <c r="A27" i="32"/>
  <c r="B26" i="32"/>
  <c r="B25" i="32"/>
  <c r="B24" i="32"/>
  <c r="B23" i="32"/>
  <c r="B22" i="32"/>
  <c r="A22" i="32"/>
  <c r="B21" i="32"/>
  <c r="B20" i="32"/>
  <c r="B19" i="32"/>
  <c r="B18" i="32"/>
  <c r="A18" i="32"/>
  <c r="B17" i="32"/>
  <c r="B16" i="32"/>
  <c r="A16" i="32"/>
  <c r="A15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S13" i="32"/>
  <c r="Q13" i="32"/>
  <c r="O13" i="32"/>
  <c r="M13" i="32"/>
  <c r="K13" i="32"/>
  <c r="I13" i="32"/>
  <c r="G13" i="32"/>
  <c r="E13" i="32"/>
  <c r="C13" i="32"/>
  <c r="A7" i="32"/>
  <c r="B34" i="31"/>
  <c r="B33" i="31"/>
  <c r="B32" i="31"/>
  <c r="A10" i="31"/>
  <c r="A9" i="31"/>
  <c r="A57" i="31"/>
  <c r="A56" i="31"/>
  <c r="A54" i="31"/>
  <c r="A53" i="31"/>
  <c r="A52" i="31"/>
  <c r="A51" i="31"/>
  <c r="A50" i="31"/>
  <c r="B48" i="31"/>
  <c r="B47" i="31"/>
  <c r="B46" i="31"/>
  <c r="A46" i="31"/>
  <c r="B45" i="31"/>
  <c r="B44" i="31"/>
  <c r="B43" i="31"/>
  <c r="B42" i="31"/>
  <c r="B41" i="31"/>
  <c r="B40" i="31"/>
  <c r="B39" i="31"/>
  <c r="B38" i="31"/>
  <c r="B37" i="31"/>
  <c r="B36" i="31"/>
  <c r="B35" i="31"/>
  <c r="A35" i="31"/>
  <c r="A32" i="31"/>
  <c r="B31" i="31"/>
  <c r="B30" i="31"/>
  <c r="B29" i="31"/>
  <c r="B28" i="31"/>
  <c r="B27" i="31"/>
  <c r="A27" i="31"/>
  <c r="B26" i="31"/>
  <c r="B25" i="31"/>
  <c r="B24" i="31"/>
  <c r="B23" i="31"/>
  <c r="B22" i="31"/>
  <c r="A22" i="31"/>
  <c r="B21" i="31"/>
  <c r="B20" i="31"/>
  <c r="B19" i="31"/>
  <c r="B18" i="31"/>
  <c r="A18" i="31"/>
  <c r="B17" i="31"/>
  <c r="B16" i="31"/>
  <c r="A16" i="31"/>
  <c r="A15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U13" i="31"/>
  <c r="S13" i="31"/>
  <c r="Q13" i="31"/>
  <c r="O13" i="31"/>
  <c r="M13" i="31"/>
  <c r="K13" i="31"/>
  <c r="I13" i="31"/>
  <c r="G13" i="31"/>
  <c r="C13" i="31"/>
  <c r="A7" i="31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A58" i="27"/>
  <c r="A55" i="27"/>
  <c r="A54" i="27"/>
  <c r="A47" i="27"/>
  <c r="A36" i="27"/>
  <c r="A32" i="27"/>
  <c r="A27" i="27"/>
  <c r="A22" i="27"/>
  <c r="A18" i="27"/>
  <c r="A16" i="27"/>
  <c r="A15" i="27"/>
  <c r="U13" i="27"/>
  <c r="S13" i="27"/>
  <c r="Q13" i="27"/>
  <c r="O13" i="27"/>
  <c r="M13" i="27"/>
  <c r="A10" i="27"/>
  <c r="A9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K13" i="27" l="1"/>
  <c r="I13" i="27"/>
  <c r="G13" i="27"/>
  <c r="C13" i="27"/>
  <c r="V14" i="27" l="1"/>
  <c r="U14" i="27"/>
  <c r="T14" i="27"/>
  <c r="S14" i="27"/>
  <c r="F14" i="27"/>
  <c r="E14" i="27"/>
  <c r="E13" i="27"/>
  <c r="A53" i="27" l="1"/>
  <c r="A52" i="27"/>
  <c r="A51" i="27"/>
  <c r="D14" i="27"/>
  <c r="C14" i="27"/>
  <c r="A7" i="27"/>
  <c r="A57" i="27"/>
</calcChain>
</file>

<file path=xl/sharedStrings.xml><?xml version="1.0" encoding="utf-8"?>
<sst xmlns="http://schemas.openxmlformats.org/spreadsheetml/2006/main" count="777" uniqueCount="283">
  <si>
    <t>Total</t>
  </si>
  <si>
    <t>Anzahl Personen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</si>
  <si>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</si>
  <si>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</si>
  <si>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</si>
  <si>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</si>
  <si>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Geschlecht</t>
  </si>
  <si>
    <t>Männer</t>
  </si>
  <si>
    <t>Frauen</t>
  </si>
  <si>
    <t>Alter</t>
  </si>
  <si>
    <t>Arbeitsmarktstatus</t>
  </si>
  <si>
    <t>Erwerbstätige</t>
  </si>
  <si>
    <t>Erwerbslose</t>
  </si>
  <si>
    <t>Nichterwerbspersonen</t>
  </si>
  <si>
    <t>Sozioprofessionelle Kategorien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</si>
  <si>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</si>
  <si>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</si>
  <si>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</si>
  <si>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</si>
  <si>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</si>
  <si>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</si>
  <si>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</si>
  <si>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</si>
  <si>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Lernende in dualer beruflicher Grundbildung (Lehrlinge)</t>
  </si>
  <si>
    <t>Nicht zuteilbare Erwerbstätige (fehlende oder unklare Basisdaten oder unplausible Kombination)</t>
  </si>
  <si>
    <t>Erwerbslose und Nichterwerbspersonen</t>
  </si>
  <si>
    <t>Höchste abgeschlossene Ausbildung</t>
  </si>
  <si>
    <t>Sekundarstufe II</t>
  </si>
  <si>
    <t>Tertiärstufe</t>
  </si>
  <si>
    <t>Quelle: BFS (Strukturerhebung)</t>
  </si>
  <si>
    <t>Tabelle</t>
  </si>
  <si>
    <t>Code</t>
  </si>
  <si>
    <t>DE</t>
  </si>
  <si>
    <t>RM</t>
  </si>
  <si>
    <t>IT</t>
  </si>
  <si>
    <t>Sprache</t>
  </si>
  <si>
    <t>T1</t>
  </si>
  <si>
    <t>&lt;Fachbereich&gt;</t>
  </si>
  <si>
    <t>Daten &amp; Statistik</t>
  </si>
  <si>
    <t>Datas &amp; Statistica</t>
  </si>
  <si>
    <t>Dati &amp; Statistica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</si>
  <si>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</si>
  <si>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</si>
  <si>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</si>
  <si>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</si>
  <si>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</si>
  <si>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</si>
  <si>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</si>
  <si>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</si>
  <si>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</si>
  <si>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</si>
  <si>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</si>
  <si>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</si>
  <si>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</si>
  <si>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</si>
  <si>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</si>
  <si>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</si>
  <si>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&lt;Aktualisierung&gt;</t>
  </si>
  <si>
    <t>&lt;UTitel&gt;</t>
  </si>
  <si>
    <t>&lt;Quelle_1&gt;</t>
  </si>
  <si>
    <t>T1-2</t>
  </si>
  <si>
    <t>T2</t>
  </si>
  <si>
    <t>&lt;T2Titel&gt;</t>
  </si>
  <si>
    <t>&lt;T2UTitel&gt;</t>
  </si>
  <si>
    <t>&lt;SpaltenTitel_1.1&gt;</t>
  </si>
  <si>
    <t>&lt;SpaltenTitel_1.2&gt;</t>
  </si>
  <si>
    <t>Totale</t>
  </si>
  <si>
    <t>Numero di persone</t>
  </si>
  <si>
    <t>Fonte: UST - Rilevazione strutturale (RS)</t>
  </si>
  <si>
    <t>Sesso</t>
  </si>
  <si>
    <t>Età</t>
  </si>
  <si>
    <t>Uomini</t>
  </si>
  <si>
    <t>Donne</t>
  </si>
  <si>
    <t>Occupati</t>
  </si>
  <si>
    <t>Disoccupati</t>
  </si>
  <si>
    <t>Persone senza attività professionale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</si>
  <si>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</si>
  <si>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</si>
  <si>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</si>
  <si>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</si>
  <si>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</si>
  <si>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</si>
  <si>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</si>
  <si>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</si>
  <si>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</si>
  <si>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</si>
  <si>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</si>
  <si>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</si>
  <si>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</si>
  <si>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</si>
  <si>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Umens</t>
  </si>
  <si>
    <t>Dunnas</t>
  </si>
  <si>
    <t>Gender</t>
  </si>
  <si>
    <t>Vegliadetgna</t>
  </si>
  <si>
    <t>Status dal martgà da lavur</t>
  </si>
  <si>
    <t>Categorias socioprofessiunalas</t>
  </si>
  <si>
    <t>La pli auta scolaziun terminada</t>
  </si>
  <si>
    <t>Professiuns libras ed egualas</t>
  </si>
  <si>
    <t>Autras persunas independentas</t>
  </si>
  <si>
    <t>Professiuns academicas e cader superiur</t>
  </si>
  <si>
    <t>professiuns intermediaras</t>
  </si>
  <si>
    <t>Professiuns betg manualas qualifitgadas</t>
  </si>
  <si>
    <t>Professiuns manualas qualifitgadas</t>
  </si>
  <si>
    <t>Emploiads e lavurants betg emprendids</t>
  </si>
  <si>
    <t>Emprendistas ed emprendists en ina furmaziun fundamentala professiunala dubla (emprendists)</t>
  </si>
  <si>
    <t>Persunas cun activitad da gudogn che n'èn betg attribuiblas (datas da basa mancantas u betg cleras u ina cumbinaziun inclausibla)</t>
  </si>
  <si>
    <t>Persunas senza activitad da gudogn e persunas senza activitad da gudogn</t>
  </si>
  <si>
    <t>Stgalim secundar II</t>
  </si>
  <si>
    <t>Stgalim terziar</t>
  </si>
  <si>
    <t>Management suprem</t>
  </si>
  <si>
    <t>Persunas senza activitad da gudogn</t>
  </si>
  <si>
    <t>Persunas cun activitad da gudogn</t>
  </si>
  <si>
    <t>Dumber da persunas</t>
  </si>
  <si>
    <t>Funtauna: UST (enquista da structura)</t>
  </si>
  <si>
    <t>X</t>
  </si>
  <si>
    <t>&lt;SpaltenTitel_4&gt;</t>
  </si>
  <si>
    <t>Staatsangehörigkeit</t>
  </si>
  <si>
    <t>Naziunalitad</t>
  </si>
  <si>
    <t>Cittadinanza</t>
  </si>
  <si>
    <t>Status sul mercato del lavoro</t>
  </si>
  <si>
    <t>Categorie socioprofessionali</t>
  </si>
  <si>
    <t>Istruzione di massimo livello</t>
  </si>
  <si>
    <t>15-24</t>
  </si>
  <si>
    <t>65 und älter</t>
  </si>
  <si>
    <t>65 e dapli</t>
  </si>
  <si>
    <t>65 e più</t>
  </si>
  <si>
    <t>Svizzera</t>
  </si>
  <si>
    <t>Svizra</t>
  </si>
  <si>
    <t>Schweiz</t>
  </si>
  <si>
    <t>Ohne nachobligatorische Aubildung</t>
  </si>
  <si>
    <t>Senza furmaziun postobligatorica</t>
  </si>
  <si>
    <t>&lt;SpaltenTitel_5&gt;</t>
  </si>
  <si>
    <t>&lt;SpaltenTitel_6&gt;</t>
  </si>
  <si>
    <t>&lt;SpaltenTitel_7&gt;</t>
  </si>
  <si>
    <t>&lt;SpaltenTitel_8&gt;</t>
  </si>
  <si>
    <t>Ständige Wohnbevölkerung ab 15 Jahren</t>
  </si>
  <si>
    <t>Populaziun residenta permanenta a partir da 15 onns</t>
  </si>
  <si>
    <t>Popolazione residente permanente di 15 anni e più</t>
  </si>
  <si>
    <t>Rätoromanisch</t>
  </si>
  <si>
    <t>Englisch</t>
  </si>
  <si>
    <t>Andere Sprache/n</t>
  </si>
  <si>
    <t>Romanico</t>
  </si>
  <si>
    <t>Inglese</t>
  </si>
  <si>
    <t>Altra lingua</t>
  </si>
  <si>
    <t>Autra lingua</t>
  </si>
  <si>
    <t>Englais</t>
  </si>
  <si>
    <t>Rumantsch</t>
  </si>
  <si>
    <t>Vertrauens- intervall: 
± (in %)</t>
  </si>
  <si>
    <t>Interval da confidenza: 
± (en %)</t>
  </si>
  <si>
    <t>Intervallo di confidenza: 
± (in %)</t>
  </si>
  <si>
    <t>Migrationsstatus</t>
  </si>
  <si>
    <t>Status migratorio</t>
  </si>
  <si>
    <t>Status da migraziun</t>
  </si>
  <si>
    <t>45-64</t>
  </si>
  <si>
    <t>25-44</t>
  </si>
  <si>
    <t>EU und EFTA</t>
  </si>
  <si>
    <t>Anderer europäischer Staat</t>
  </si>
  <si>
    <t>Andere Staaten</t>
  </si>
  <si>
    <t>Staatsangehörigkeit unbekannt</t>
  </si>
  <si>
    <t>UE ed AECL</t>
  </si>
  <si>
    <t>In auter pajais europeic</t>
  </si>
  <si>
    <t>Auters stadis</t>
  </si>
  <si>
    <t>Naziunalitad n'è betg enconuschenta</t>
  </si>
  <si>
    <t>UE e EFTA</t>
  </si>
  <si>
    <t>Altro paese europeo</t>
  </si>
  <si>
    <t>Altri paesi</t>
  </si>
  <si>
    <t>Nazionalità sconosciuta</t>
  </si>
  <si>
    <t>&lt;Legende_5&gt;</t>
  </si>
  <si>
    <t>Die Befragten konnten mehrere Hauptsprachen nennen.</t>
  </si>
  <si>
    <t>Gli intervistati potevano indicare più lingue principali.</t>
  </si>
  <si>
    <t>Las persunas interrogadas han pudì inditgar pliras linguas principalas.</t>
  </si>
  <si>
    <t>&lt;T2Zeilentitel_6.3&gt;</t>
  </si>
  <si>
    <t>&lt;T2Zeilentitel_6.2&gt;</t>
  </si>
  <si>
    <t>&lt;T2Zeilentitel_6.1&gt;</t>
  </si>
  <si>
    <t>Schweizer/innen ohne Migrationshintergrund</t>
  </si>
  <si>
    <t>Schweizer/innen mit Migrationshintergrund</t>
  </si>
  <si>
    <t>Ausländer/innen der ersten Generation</t>
  </si>
  <si>
    <t>Ausländer/innen der zweiten und höheren Generation</t>
  </si>
  <si>
    <t>Migrationshintergrund unbekannt</t>
  </si>
  <si>
    <t>&lt;Zeilentitel_2.1&gt;</t>
  </si>
  <si>
    <t>&lt;Zeilentitel_2.2&gt;</t>
  </si>
  <si>
    <t>&lt;Zeilentitel_3.1&gt;</t>
  </si>
  <si>
    <t>&lt;Zeilentitel_3.2&gt;</t>
  </si>
  <si>
    <t>&lt;Zeilentitel_3.3&gt;</t>
  </si>
  <si>
    <t>&lt;Zeilentitel_3.4&gt;</t>
  </si>
  <si>
    <t>&lt;Zeilentitel_4.1&gt;</t>
  </si>
  <si>
    <t>&lt;Zeilentitel_4.2&gt;</t>
  </si>
  <si>
    <t>&lt;Zeilentitel_4.3&gt;</t>
  </si>
  <si>
    <t>&lt;Zeilentitel_4.4&gt;</t>
  </si>
  <si>
    <t>&lt;Zeilentitel_4.5&gt;</t>
  </si>
  <si>
    <t>&lt;Zeilentitel_5.1&gt;</t>
  </si>
  <si>
    <t>&lt;Zeilentitel_5.2&gt;</t>
  </si>
  <si>
    <t>&lt;Zeilentitel_5.3&gt;</t>
  </si>
  <si>
    <t>&lt;Zeilentitel_5.4&gt;</t>
  </si>
  <si>
    <t>&lt;Zeilentitel_5.5&gt;</t>
  </si>
  <si>
    <t>&lt;Zeilentitel_6.1&gt;</t>
  </si>
  <si>
    <t>&lt;Zeilentitel_6.2&gt;</t>
  </si>
  <si>
    <t>&lt;Zeilentitel_6.3&gt;</t>
  </si>
  <si>
    <t>&lt;Zeilentitel_7.1&gt;</t>
  </si>
  <si>
    <t>&lt;Zeilentitel_7.2&gt;</t>
  </si>
  <si>
    <t>&lt;Zeilentitel_7.3&gt;</t>
  </si>
  <si>
    <t>&lt;Zeilentitel_7.4&gt;</t>
  </si>
  <si>
    <t>&lt;Zeilentitel_7.5&gt;</t>
  </si>
  <si>
    <t>&lt;Zeilentitel_7.6&gt;</t>
  </si>
  <si>
    <t>&lt;Zeilentitel_7.7&gt;</t>
  </si>
  <si>
    <t>&lt;Zeilentitel_7.8&gt;</t>
  </si>
  <si>
    <t>&lt;Zeilentitel_7.9&gt;</t>
  </si>
  <si>
    <t>&lt;Zeilentitel_7.10&gt;</t>
  </si>
  <si>
    <t>&lt;Zeilentitel_7.11&gt;</t>
  </si>
  <si>
    <t>&lt;Zeilentitel_8.1&gt;</t>
  </si>
  <si>
    <t>&lt;Zeilentitel_8.2&gt;</t>
  </si>
  <si>
    <t>&lt;Zeilentitel_8.3&gt;</t>
  </si>
  <si>
    <t>&lt;SpaltenTitel_9&gt;</t>
  </si>
  <si>
    <t>&lt;SpaltenTitel_10&gt;</t>
  </si>
  <si>
    <t>Bei der Arbeit gesprochene Sprachen, Kanton Graubünden</t>
  </si>
  <si>
    <t>Linguas discurridas a la lavur, chantun Grischun</t>
  </si>
  <si>
    <t>Lingue parlate sul lavoro, Canton Grigioni</t>
  </si>
  <si>
    <t>Total Bevölkerung</t>
  </si>
  <si>
    <t>Totale popolazione</t>
  </si>
  <si>
    <t>Total Erwerbstätige</t>
  </si>
  <si>
    <t>Total persunas cun activitad da gudogn</t>
  </si>
  <si>
    <t>Totale persone occupate</t>
  </si>
  <si>
    <t>Schweizerdeutsch</t>
  </si>
  <si>
    <t>Tudestg svizzer</t>
  </si>
  <si>
    <t>Svizzero tedesco</t>
  </si>
  <si>
    <t>Tedesco</t>
  </si>
  <si>
    <t>Tudestg</t>
  </si>
  <si>
    <t>Deutsch</t>
  </si>
  <si>
    <t>Französisch</t>
  </si>
  <si>
    <t>Franzos</t>
  </si>
  <si>
    <t>Francese</t>
  </si>
  <si>
    <t>Tessiner/Bündner-italienischer Dialekt</t>
  </si>
  <si>
    <t>Dialetto ticinese/grigionese-italiano</t>
  </si>
  <si>
    <t>Italiano</t>
  </si>
  <si>
    <t>Talian</t>
  </si>
  <si>
    <t>Dialect tessinais/grischun-talian</t>
  </si>
  <si>
    <t>Italienisch</t>
  </si>
  <si>
    <t>Vollzeiterwerbstätige (90-100%)</t>
  </si>
  <si>
    <t>Teilzeiterwerbstätige I (70-89%)</t>
  </si>
  <si>
    <t>Teilzeiterwerbstätige II (50-69%)</t>
  </si>
  <si>
    <t>Teilzeiterwerbstätige III (weniger als 50%)</t>
  </si>
  <si>
    <t>&lt;Zeilentitel_6.4&gt;</t>
  </si>
  <si>
    <t>Occupati a tempo pieno (90-100%)</t>
  </si>
  <si>
    <t>Occupati a tempo parziale I (70-89%)</t>
  </si>
  <si>
    <t>Occupati a tempo parziale II (50-69%)</t>
  </si>
  <si>
    <t>Occupati a tempo parziale III (meno del 50%)</t>
  </si>
  <si>
    <t>Persunas cun activitad da gudogn a temp cumplain (90-100%)</t>
  </si>
  <si>
    <t>Persunas cun activitad da gudogn a temp parzial I (70-89%)</t>
  </si>
  <si>
    <t>Persunas cun activitad da gudogn a temp parzial II (50-69%)</t>
  </si>
  <si>
    <t>Persunas cun activitad da gudogn a temp parzial III (main che 50%)</t>
  </si>
  <si>
    <t>Personen in Ausbildung</t>
  </si>
  <si>
    <t>&lt;T2SpaltenTitel_2&gt;</t>
  </si>
  <si>
    <t>In der Ausbildung gesprochene Sprachen, Kanton Graubünden</t>
  </si>
  <si>
    <t>Linguas discurridas en la scolaziun, chantun Grischun</t>
  </si>
  <si>
    <t>Lingue parlate durante la formazione, Canton Grigioni</t>
  </si>
  <si>
    <t>T3</t>
  </si>
  <si>
    <t>&lt;T3Titel&gt;</t>
  </si>
  <si>
    <t>&lt;T3UTitel&gt;</t>
  </si>
  <si>
    <t>Zu Hause gesprochene Sprachen im Kanton Graubünden</t>
  </si>
  <si>
    <t>Lingue parlate a casa nel Canton Grigioni</t>
  </si>
  <si>
    <t>Linguas discurridas a chasa en il chantun Grischun</t>
  </si>
  <si>
    <t>Letztmals aktualisiert am: 18.03.2024</t>
  </si>
  <si>
    <t>Ultima actualisaziun: 18.03.2024</t>
  </si>
  <si>
    <t>Ulimo aggiornamento: 18.03.2024</t>
  </si>
  <si>
    <t>Total populaziun</t>
  </si>
  <si>
    <t>Svizzers senza retroterra da migraziun</t>
  </si>
  <si>
    <t>Svizzeri/e senza un passato migratorio</t>
  </si>
  <si>
    <t>Svizzers cun ina migraziun</t>
  </si>
  <si>
    <t>Svizzeri/e con un passato migratorio</t>
  </si>
  <si>
    <t>Persunas estras da l'emprima generaziun</t>
  </si>
  <si>
    <t>Stranieri/e di prima generazione</t>
  </si>
  <si>
    <t>Persunas estras da la segunda generaziun e da l'emprima</t>
  </si>
  <si>
    <t>Stranieri/e di seconda generazione e più</t>
  </si>
  <si>
    <t>La migraziun n'è betg enconuschenta</t>
  </si>
  <si>
    <t>Passato migratorio sconosciuto</t>
  </si>
  <si>
    <t>(): Extrapolaziun sin basa da 49 u damain observaziuns. Ils resultats ston vegnir interpretads cun gronda precauziun.</t>
  </si>
  <si>
    <t>(): Estrapolazione basata su 49 osservazioni o meno. I risultati devono essere interpretati con molta cautela.</t>
  </si>
  <si>
    <t>X: Extrapolaziun pervia da 4 u damain observaziuns. Per motivs da la protecziun da datas na vegnan ils resultats betg publitgads.</t>
  </si>
  <si>
    <t>X: Estrapolazione basata su 4 o meno osservazioni. I risultati non sono pubblicati per motivi di protezione dei dati.</t>
  </si>
  <si>
    <t>La survista da basa da l'enquista da structura cumpiglia tut las persunas da la populaziun residenta permanenta a partir da 15 onns che vivan en chasadas privatas.</t>
  </si>
  <si>
    <t>La popolazione dell'indagine sulla struttura comprende tutte le persone della popolazione residente permanente di età pari o superiore ai 15 anni che vivono in famiglie.</t>
  </si>
  <si>
    <t>Exclus da la totalitad fundamentala èn vegnids ultra da las persunas che vivan en chasadas collectivas er diplomats, funcziunaris internaziunals e lur confamigliars.</t>
  </si>
  <si>
    <t>Oltre alle persone che vivono in economie domestiche collettive, sono stati esclusi i diplomatici, i funzionari internazionali e i loro familiari.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</si>
</sst>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0.0"/>
    <numFmt numFmtId="168" formatCode="\(0.0\)"/>
    <numFmt numFmtId="169" formatCode="#\'##0"/>
    <numFmt numFmtId="170" formatCode="* #,###"/>
    <numFmt numFmtId="171" formatCode="\(0\)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0"/>
      <color rgb="FF4C4C4C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104">
    <xf numFmtId="0" fontId="0" fillId="0" borderId="0" xfId="0"/>
    <xf numFmtId="0" fontId="3" fillId="4" borderId="0" xfId="0" applyFont="1" applyFill="1"/>
    <xf numFmtId="0" fontId="8" fillId="4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5" fontId="10" fillId="3" borderId="0" xfId="1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12" fillId="3" borderId="0" xfId="0" applyFont="1" applyFill="1" applyAlignment="1">
      <alignment horizontal="left" vertical="center"/>
    </xf>
    <xf numFmtId="0" fontId="2" fillId="2" borderId="0" xfId="0" applyFont="1" applyFill="1"/>
    <xf numFmtId="3" fontId="2" fillId="0" borderId="0" xfId="0" applyNumberFormat="1" applyFont="1"/>
    <xf numFmtId="169" fontId="2" fillId="0" borderId="0" xfId="0" applyNumberFormat="1" applyFont="1"/>
    <xf numFmtId="0" fontId="0" fillId="4" borderId="0" xfId="0" applyFill="1"/>
    <xf numFmtId="0" fontId="15" fillId="4" borderId="0" xfId="0" applyFont="1" applyFill="1"/>
    <xf numFmtId="0" fontId="12" fillId="3" borderId="3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2" fillId="0" borderId="0" xfId="0" applyFont="1" applyBorder="1"/>
    <xf numFmtId="169" fontId="3" fillId="4" borderId="0" xfId="1" applyNumberFormat="1" applyFont="1" applyFill="1" applyBorder="1" applyAlignment="1" applyProtection="1">
      <alignment horizontal="right" vertical="center" wrapText="1"/>
    </xf>
    <xf numFmtId="167" fontId="3" fillId="4" borderId="0" xfId="1" applyNumberFormat="1" applyFont="1" applyFill="1" applyBorder="1" applyAlignment="1" applyProtection="1">
      <alignment horizontal="right" vertical="center" wrapText="1"/>
    </xf>
    <xf numFmtId="1" fontId="3" fillId="4" borderId="0" xfId="1" applyNumberFormat="1" applyFont="1" applyFill="1" applyBorder="1" applyAlignment="1" applyProtection="1">
      <alignment horizontal="righ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2" fillId="0" borderId="18" xfId="0" applyFont="1" applyBorder="1"/>
    <xf numFmtId="0" fontId="13" fillId="3" borderId="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/>
    </xf>
    <xf numFmtId="0" fontId="2" fillId="0" borderId="8" xfId="0" applyFont="1" applyBorder="1"/>
    <xf numFmtId="0" fontId="2" fillId="0" borderId="9" xfId="0" applyFont="1" applyBorder="1"/>
    <xf numFmtId="0" fontId="8" fillId="4" borderId="0" xfId="0" applyFont="1" applyFill="1" applyAlignment="1">
      <alignment horizontal="left" vertical="top" wrapText="1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167" fontId="3" fillId="0" borderId="26" xfId="3" applyNumberFormat="1" applyFont="1" applyFill="1" applyBorder="1" applyAlignment="1" applyProtection="1">
      <alignment horizontal="right" vertical="center" wrapText="1"/>
    </xf>
    <xf numFmtId="168" fontId="3" fillId="0" borderId="26" xfId="3" applyNumberFormat="1" applyFont="1" applyFill="1" applyBorder="1" applyAlignment="1" applyProtection="1">
      <alignment horizontal="right" vertical="center" wrapText="1"/>
    </xf>
    <xf numFmtId="167" fontId="19" fillId="0" borderId="26" xfId="3" applyNumberFormat="1" applyFont="1" applyFill="1" applyBorder="1" applyAlignment="1" applyProtection="1">
      <alignment horizontal="right" vertical="center" wrapText="1"/>
    </xf>
    <xf numFmtId="168" fontId="3" fillId="0" borderId="27" xfId="3" applyNumberFormat="1" applyFont="1" applyFill="1" applyBorder="1" applyAlignment="1" applyProtection="1">
      <alignment horizontal="right" vertical="center" wrapText="1"/>
    </xf>
    <xf numFmtId="167" fontId="3" fillId="0" borderId="28" xfId="3" applyNumberFormat="1" applyFont="1" applyFill="1" applyBorder="1" applyAlignment="1" applyProtection="1">
      <alignment horizontal="right" vertical="center" wrapText="1"/>
    </xf>
    <xf numFmtId="168" fontId="3" fillId="0" borderId="28" xfId="3" applyNumberFormat="1" applyFont="1" applyFill="1" applyBorder="1" applyAlignment="1" applyProtection="1">
      <alignment horizontal="right" vertical="center" wrapText="1"/>
    </xf>
    <xf numFmtId="167" fontId="3" fillId="0" borderId="29" xfId="3" applyNumberFormat="1" applyFont="1" applyFill="1" applyBorder="1" applyAlignment="1" applyProtection="1">
      <alignment horizontal="right" vertical="center" wrapText="1"/>
    </xf>
    <xf numFmtId="167" fontId="3" fillId="0" borderId="28" xfId="1" applyNumberFormat="1" applyFont="1" applyFill="1" applyBorder="1" applyAlignment="1" applyProtection="1">
      <alignment horizontal="right" vertical="center" wrapText="1"/>
    </xf>
    <xf numFmtId="168" fontId="3" fillId="0" borderId="28" xfId="1" applyNumberFormat="1" applyFont="1" applyFill="1" applyBorder="1" applyAlignment="1" applyProtection="1">
      <alignment horizontal="right" vertical="center" wrapText="1"/>
    </xf>
    <xf numFmtId="167" fontId="19" fillId="0" borderId="28" xfId="1" applyNumberFormat="1" applyFont="1" applyFill="1" applyBorder="1" applyAlignment="1" applyProtection="1">
      <alignment horizontal="right" vertical="center" wrapText="1"/>
    </xf>
    <xf numFmtId="167" fontId="3" fillId="0" borderId="29" xfId="1" applyNumberFormat="1" applyFont="1" applyFill="1" applyBorder="1" applyAlignment="1" applyProtection="1">
      <alignment horizontal="right" vertical="center" wrapText="1"/>
    </xf>
    <xf numFmtId="167" fontId="19" fillId="0" borderId="28" xfId="3" applyNumberFormat="1" applyFont="1" applyFill="1" applyBorder="1" applyAlignment="1" applyProtection="1">
      <alignment horizontal="right" vertical="center" wrapText="1"/>
    </xf>
    <xf numFmtId="168" fontId="3" fillId="0" borderId="29" xfId="3" applyNumberFormat="1" applyFont="1" applyFill="1" applyBorder="1" applyAlignment="1" applyProtection="1">
      <alignment horizontal="right" vertical="center" wrapText="1"/>
    </xf>
    <xf numFmtId="167" fontId="11" fillId="0" borderId="28" xfId="3" applyNumberFormat="1" applyFont="1" applyFill="1" applyBorder="1" applyAlignment="1" applyProtection="1">
      <alignment horizontal="right" vertical="center" wrapText="1"/>
    </xf>
    <xf numFmtId="167" fontId="11" fillId="0" borderId="28" xfId="1" applyNumberFormat="1" applyFont="1" applyFill="1" applyBorder="1" applyAlignment="1" applyProtection="1">
      <alignment horizontal="right" vertical="center" wrapText="1"/>
    </xf>
    <xf numFmtId="167" fontId="11" fillId="0" borderId="26" xfId="3" applyNumberFormat="1" applyFont="1" applyFill="1" applyBorder="1" applyAlignment="1" applyProtection="1">
      <alignment horizontal="right" vertical="center" wrapText="1"/>
    </xf>
    <xf numFmtId="0" fontId="12" fillId="4" borderId="30" xfId="1" applyNumberFormat="1" applyFont="1" applyFill="1" applyBorder="1" applyAlignment="1" applyProtection="1">
      <alignment horizontal="right" vertical="top" wrapText="1"/>
    </xf>
    <xf numFmtId="0" fontId="12" fillId="4" borderId="31" xfId="1" applyNumberFormat="1" applyFont="1" applyFill="1" applyBorder="1" applyAlignment="1" applyProtection="1">
      <alignment horizontal="right" vertical="top" wrapText="1"/>
    </xf>
    <xf numFmtId="0" fontId="12" fillId="4" borderId="20" xfId="1" applyNumberFormat="1" applyFont="1" applyFill="1" applyBorder="1" applyAlignment="1" applyProtection="1">
      <alignment horizontal="right" vertical="top" wrapText="1"/>
    </xf>
    <xf numFmtId="0" fontId="12" fillId="4" borderId="32" xfId="1" applyNumberFormat="1" applyFont="1" applyFill="1" applyBorder="1" applyAlignment="1" applyProtection="1">
      <alignment horizontal="right" vertical="top" wrapText="1"/>
    </xf>
    <xf numFmtId="0" fontId="12" fillId="4" borderId="33" xfId="1" applyNumberFormat="1" applyFont="1" applyFill="1" applyBorder="1" applyAlignment="1" applyProtection="1">
      <alignment horizontal="right" vertical="top" wrapText="1"/>
    </xf>
    <xf numFmtId="0" fontId="12" fillId="4" borderId="34" xfId="1" applyNumberFormat="1" applyFont="1" applyFill="1" applyBorder="1" applyAlignment="1" applyProtection="1">
      <alignment horizontal="right" vertical="top" wrapText="1"/>
    </xf>
    <xf numFmtId="170" fontId="11" fillId="0" borderId="35" xfId="3" applyNumberFormat="1" applyFont="1" applyFill="1" applyBorder="1" applyAlignment="1" applyProtection="1">
      <alignment horizontal="right" vertical="center" wrapText="1"/>
    </xf>
    <xf numFmtId="3" fontId="3" fillId="0" borderId="36" xfId="3" applyNumberFormat="1" applyFont="1" applyFill="1" applyBorder="1" applyAlignment="1" applyProtection="1">
      <alignment horizontal="right" vertical="center" wrapText="1"/>
    </xf>
    <xf numFmtId="171" fontId="3" fillId="0" borderId="36" xfId="3" applyNumberFormat="1" applyFont="1" applyFill="1" applyBorder="1" applyAlignment="1" applyProtection="1">
      <alignment horizontal="right" vertical="center" wrapText="1"/>
    </xf>
    <xf numFmtId="3" fontId="3" fillId="0" borderId="37" xfId="3" applyNumberFormat="1" applyFont="1" applyFill="1" applyBorder="1" applyAlignment="1" applyProtection="1">
      <alignment horizontal="right" vertical="center" wrapText="1"/>
    </xf>
    <xf numFmtId="170" fontId="11" fillId="0" borderId="22" xfId="1" applyNumberFormat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 wrapText="1"/>
    </xf>
    <xf numFmtId="171" fontId="3" fillId="0" borderId="4" xfId="1" applyNumberFormat="1" applyFont="1" applyFill="1" applyBorder="1" applyAlignment="1" applyProtection="1">
      <alignment horizontal="right" vertical="center" wrapText="1"/>
    </xf>
    <xf numFmtId="3" fontId="19" fillId="0" borderId="4" xfId="1" applyNumberFormat="1" applyFont="1" applyFill="1" applyBorder="1" applyAlignment="1" applyProtection="1">
      <alignment horizontal="right" vertical="center" wrapText="1"/>
    </xf>
    <xf numFmtId="3" fontId="3" fillId="0" borderId="7" xfId="1" applyNumberFormat="1" applyFont="1" applyFill="1" applyBorder="1" applyAlignment="1" applyProtection="1">
      <alignment horizontal="right" vertical="center" wrapText="1"/>
    </xf>
    <xf numFmtId="170" fontId="11" fillId="0" borderId="22" xfId="3" applyNumberFormat="1" applyFont="1" applyFill="1" applyBorder="1" applyAlignment="1" applyProtection="1">
      <alignment horizontal="right" vertical="center" wrapText="1"/>
    </xf>
    <xf numFmtId="3" fontId="3" fillId="0" borderId="4" xfId="3" applyNumberFormat="1" applyFont="1" applyFill="1" applyBorder="1" applyAlignment="1" applyProtection="1">
      <alignment horizontal="right" vertical="center" wrapText="1"/>
    </xf>
    <xf numFmtId="171" fontId="3" fillId="0" borderId="4" xfId="3" applyNumberFormat="1" applyFont="1" applyFill="1" applyBorder="1" applyAlignment="1" applyProtection="1">
      <alignment horizontal="right" vertical="center" wrapText="1"/>
    </xf>
    <xf numFmtId="3" fontId="19" fillId="0" borderId="4" xfId="3" applyNumberFormat="1" applyFont="1" applyFill="1" applyBorder="1" applyAlignment="1" applyProtection="1">
      <alignment horizontal="right" vertical="center" wrapText="1"/>
    </xf>
    <xf numFmtId="3" fontId="3" fillId="0" borderId="7" xfId="3" applyNumberFormat="1" applyFont="1" applyFill="1" applyBorder="1" applyAlignment="1" applyProtection="1">
      <alignment horizontal="right" vertical="center" wrapText="1"/>
    </xf>
    <xf numFmtId="171" fontId="3" fillId="0" borderId="7" xfId="3" applyNumberFormat="1" applyFont="1" applyFill="1" applyBorder="1" applyAlignment="1" applyProtection="1">
      <alignment horizontal="right" vertical="center" wrapText="1"/>
    </xf>
    <xf numFmtId="0" fontId="12" fillId="4" borderId="38" xfId="1" applyNumberFormat="1" applyFont="1" applyFill="1" applyBorder="1" applyAlignment="1" applyProtection="1">
      <alignment horizontal="right" vertical="top" wrapText="1"/>
    </xf>
    <xf numFmtId="0" fontId="12" fillId="4" borderId="21" xfId="1" applyNumberFormat="1" applyFont="1" applyFill="1" applyBorder="1" applyAlignment="1" applyProtection="1">
      <alignment horizontal="right" vertical="top" wrapText="1"/>
    </xf>
    <xf numFmtId="167" fontId="11" fillId="0" borderId="15" xfId="3" applyNumberFormat="1" applyFont="1" applyFill="1" applyBorder="1" applyAlignment="1" applyProtection="1">
      <alignment horizontal="right" vertical="center" wrapText="1"/>
    </xf>
    <xf numFmtId="167" fontId="11" fillId="0" borderId="15" xfId="1" applyNumberFormat="1" applyFont="1" applyFill="1" applyBorder="1" applyAlignment="1" applyProtection="1">
      <alignment horizontal="right" vertical="center" wrapText="1"/>
    </xf>
    <xf numFmtId="170" fontId="11" fillId="0" borderId="4" xfId="3" applyNumberFormat="1" applyFont="1" applyFill="1" applyBorder="1" applyAlignment="1" applyProtection="1">
      <alignment horizontal="right" vertical="center" wrapText="1"/>
    </xf>
    <xf numFmtId="171" fontId="11" fillId="0" borderId="22" xfId="3" applyNumberFormat="1" applyFont="1" applyFill="1" applyBorder="1" applyAlignment="1" applyProtection="1">
      <alignment horizontal="right" vertical="center" wrapText="1"/>
    </xf>
    <xf numFmtId="168" fontId="11" fillId="0" borderId="15" xfId="3" applyNumberFormat="1" applyFont="1" applyFill="1" applyBorder="1" applyAlignment="1" applyProtection="1">
      <alignment horizontal="right" vertical="center" wrapText="1"/>
    </xf>
    <xf numFmtId="168" fontId="11" fillId="0" borderId="26" xfId="3" applyNumberFormat="1" applyFont="1" applyFill="1" applyBorder="1" applyAlignment="1" applyProtection="1">
      <alignment horizontal="right" vertical="center" wrapText="1"/>
    </xf>
    <xf numFmtId="167" fontId="3" fillId="0" borderId="27" xfId="3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</cellXfs>
  <cellStyles count="11">
    <cellStyle name="Komma" xfId="1" builtinId="3"/>
    <cellStyle name="Komma 2" xfId="2"/>
    <cellStyle name="Komma 3" xfId="3"/>
    <cellStyle name="Normale 2" xfId="10"/>
    <cellStyle name="Standard" xfId="0" builtinId="0"/>
    <cellStyle name="Standard 2" xfId="4"/>
    <cellStyle name="Standard 2 2" xfId="7"/>
    <cellStyle name="Standard 3" xfId="5"/>
    <cellStyle name="Standard 4" xfId="6"/>
    <cellStyle name="Standard 4 2" xfId="8"/>
    <cellStyle name="Standard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638789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00625" y="19050"/>
          <a:ext cx="261046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638789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00625" y="19050"/>
          <a:ext cx="261046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Option Button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Option Button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Option Button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5</xdr:row>
      <xdr:rowOff>32777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638789</xdr:colOff>
      <xdr:row>4</xdr:row>
      <xdr:rowOff>145523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00625" y="19050"/>
          <a:ext cx="261046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Option Button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6" name="Option Button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7" name="Option Button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showGridLines="0" tabSelected="1" zoomScaleNormal="100" workbookViewId="0"/>
  </sheetViews>
  <sheetFormatPr baseColWidth="10" defaultRowHeight="12.75" x14ac:dyDescent="0.2"/>
  <cols>
    <col min="1" max="1" width="29.75" style="6" customWidth="1"/>
    <col min="2" max="2" width="33.25" style="6" customWidth="1"/>
    <col min="3" max="22" width="9.5" style="6" customWidth="1"/>
    <col min="23" max="16384" width="11" style="6"/>
  </cols>
  <sheetData>
    <row r="1" spans="1:23" s="1" customFormat="1" x14ac:dyDescent="0.2"/>
    <row r="2" spans="1:23" s="1" customFormat="1" ht="15.75" x14ac:dyDescent="0.25"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3" s="1" customFormat="1" ht="15.75" x14ac:dyDescent="0.25"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3" s="1" customFormat="1" ht="15.75" x14ac:dyDescent="0.25"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3" s="1" customFormat="1" x14ac:dyDescent="0.2"/>
    <row r="6" spans="1:23" s="1" customFormat="1" x14ac:dyDescent="0.2"/>
    <row r="7" spans="1:23" s="1" customFormat="1" ht="15.75" customHeight="1" x14ac:dyDescent="0.2">
      <c r="A7" s="93" t="str">
        <f>VLOOKUP("&lt;Fachbereich&gt;",Uebersetzungen!$B$3:$E$63,Uebersetzungen!$B$2+1,FALSE)</f>
        <v>Daten &amp; Statistik</v>
      </c>
      <c r="B7" s="93"/>
      <c r="C7" s="93"/>
      <c r="D7" s="93"/>
      <c r="E7" s="36"/>
      <c r="F7" s="36"/>
      <c r="G7" s="38"/>
      <c r="H7" s="38"/>
      <c r="I7" s="38"/>
      <c r="J7" s="38"/>
      <c r="K7" s="38"/>
      <c r="L7" s="38"/>
      <c r="M7" s="40"/>
      <c r="N7" s="40"/>
      <c r="O7" s="40"/>
      <c r="P7" s="40"/>
      <c r="Q7" s="40"/>
      <c r="R7" s="40"/>
      <c r="S7" s="12"/>
      <c r="T7" s="12"/>
      <c r="U7" s="12"/>
      <c r="V7" s="12"/>
      <c r="W7" s="12"/>
    </row>
    <row r="8" spans="1:23" s="1" customFormat="1" x14ac:dyDescent="0.2"/>
    <row r="9" spans="1:23" ht="18" x14ac:dyDescent="0.2">
      <c r="A9" s="3" t="str">
        <f>VLOOKUP("&lt;Titel&gt;",Uebersetzungen!$B$3:$E$86,Uebersetzungen!$B$2+1,FALSE)</f>
        <v>Bei der Arbeit gesprochene Sprachen, Kanton Graubünden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x14ac:dyDescent="0.2">
      <c r="A10" s="7" t="str">
        <f>VLOOKUP("&lt;UTitel&gt;",Uebersetzungen!$B$3:$E$86,Uebersetzungen!$B$2+1,FALSE)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3" ht="18" x14ac:dyDescent="0.25">
      <c r="A12" s="8"/>
      <c r="B12" s="8"/>
      <c r="C12" s="99">
        <v>2022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</row>
    <row r="13" spans="1:23" ht="37.5" customHeight="1" x14ac:dyDescent="0.2">
      <c r="B13" s="94"/>
      <c r="C13" s="96" t="str">
        <f>VLOOKUP("&lt;SpaltenTitel_1&gt;",Uebersetzungen!$B$3:$E$63,Uebersetzungen!$B$2+1,FALSE)</f>
        <v>Total Bevölkerung</v>
      </c>
      <c r="D13" s="97"/>
      <c r="E13" s="97" t="str">
        <f>VLOOKUP("&lt;SpaltenTitel_2&gt;",Uebersetzungen!$B$3:$E$63,Uebersetzungen!$B$2+1,FALSE)</f>
        <v>Total Erwerbstätige</v>
      </c>
      <c r="F13" s="97"/>
      <c r="G13" s="97" t="str">
        <f>VLOOKUP("&lt;SpaltenTitel_3&gt;",Uebersetzungen!$B$3:$E$63,Uebersetzungen!$B$2+1,FALSE)</f>
        <v>Schweizerdeutsch</v>
      </c>
      <c r="H13" s="97"/>
      <c r="I13" s="97" t="str">
        <f>VLOOKUP("&lt;SpaltenTitel_4&gt;",Uebersetzungen!$B$3:$E$63,Uebersetzungen!$B$2+1,FALSE)</f>
        <v>Deutsch</v>
      </c>
      <c r="J13" s="97"/>
      <c r="K13" s="97" t="str">
        <f>VLOOKUP("&lt;SpaltenTitel_5&gt;",Uebersetzungen!$B$3:$E$63,Uebersetzungen!$B$2+1,FALSE)</f>
        <v>Französisch</v>
      </c>
      <c r="L13" s="97"/>
      <c r="M13" s="102" t="str">
        <f>VLOOKUP("&lt;SpaltenTitel_6&gt;",Uebersetzungen!$B$3:$E$63,Uebersetzungen!$B$2+1,FALSE)</f>
        <v>Tessiner/Bündner-italienischer Dialekt</v>
      </c>
      <c r="N13" s="103"/>
      <c r="O13" s="102" t="str">
        <f>VLOOKUP("&lt;SpaltenTitel_7&gt;",Uebersetzungen!$B$3:$E$63,Uebersetzungen!$B$2+1,FALSE)</f>
        <v>Italienisch</v>
      </c>
      <c r="P13" s="103"/>
      <c r="Q13" s="102" t="str">
        <f>VLOOKUP("&lt;SpaltenTitel_8&gt;",Uebersetzungen!$B$3:$E$63,Uebersetzungen!$B$2+1,FALSE)</f>
        <v>Rätoromanisch</v>
      </c>
      <c r="R13" s="103"/>
      <c r="S13" s="97" t="str">
        <f>VLOOKUP("&lt;SpaltenTitel_9&gt;",Uebersetzungen!$B$3:$E$63,Uebersetzungen!$B$2+1,FALSE)</f>
        <v>Englisch</v>
      </c>
      <c r="T13" s="97"/>
      <c r="U13" s="97" t="str">
        <f>VLOOKUP("&lt;SpaltenTitel_10&gt;",Uebersetzungen!$B$3:$E$63,Uebersetzungen!$B$2+1,FALSE)</f>
        <v>Andere Sprache/n</v>
      </c>
      <c r="V13" s="98"/>
    </row>
    <row r="14" spans="1:23" ht="39" thickBot="1" x14ac:dyDescent="0.25">
      <c r="B14" s="95"/>
      <c r="C14" s="63" t="str">
        <f>VLOOKUP("&lt;SpaltenTitel_1.1&gt;",Uebersetzungen!$B$3:$E$63,Uebersetzungen!$B$2+1,FALSE)</f>
        <v>Anzahl Personen</v>
      </c>
      <c r="D14" s="64" t="str">
        <f>VLOOKUP("&lt;SpaltenTitel_1.2&gt;",Uebersetzungen!$B$3:$E$63,Uebersetzungen!$B$2+1,FALSE)</f>
        <v>Vertrauens- intervall: 
± (in %)</v>
      </c>
      <c r="E14" s="65" t="str">
        <f>VLOOKUP("&lt;SpaltenTitel_1.1&gt;",Uebersetzungen!$B$3:$E$63,Uebersetzungen!$B$2+1,FALSE)</f>
        <v>Anzahl Personen</v>
      </c>
      <c r="F14" s="64" t="str">
        <f>VLOOKUP("&lt;SpaltenTitel_1.2&gt;",Uebersetzungen!$B$3:$E$63,Uebersetzungen!$B$2+1,FALSE)</f>
        <v>Vertrauens- intervall: 
± (in %)</v>
      </c>
      <c r="G14" s="65" t="str">
        <f>VLOOKUP("&lt;SpaltenTitel_1.1&gt;",Uebersetzungen!$B$3:$E$63,Uebersetzungen!$B$2+1,FALSE)</f>
        <v>Anzahl Personen</v>
      </c>
      <c r="H14" s="64" t="str">
        <f>VLOOKUP("&lt;SpaltenTitel_1.2&gt;",Uebersetzungen!$B$3:$E$63,Uebersetzungen!$B$2+1,FALSE)</f>
        <v>Vertrauens- intervall: 
± (in %)</v>
      </c>
      <c r="I14" s="65" t="str">
        <f>VLOOKUP("&lt;SpaltenTitel_1.1&gt;",Uebersetzungen!$B$3:$E$63,Uebersetzungen!$B$2+1,FALSE)</f>
        <v>Anzahl Personen</v>
      </c>
      <c r="J14" s="64" t="str">
        <f>VLOOKUP("&lt;SpaltenTitel_1.2&gt;",Uebersetzungen!$B$3:$E$63,Uebersetzungen!$B$2+1,FALSE)</f>
        <v>Vertrauens- intervall: 
± (in %)</v>
      </c>
      <c r="K14" s="65" t="str">
        <f>VLOOKUP("&lt;SpaltenTitel_1.1&gt;",Uebersetzungen!$B$3:$E$63,Uebersetzungen!$B$2+1,FALSE)</f>
        <v>Anzahl Personen</v>
      </c>
      <c r="L14" s="64" t="str">
        <f>VLOOKUP("&lt;SpaltenTitel_1.2&gt;",Uebersetzungen!$B$3:$E$63,Uebersetzungen!$B$2+1,FALSE)</f>
        <v>Vertrauens- intervall: 
± (in %)</v>
      </c>
      <c r="M14" s="65" t="str">
        <f>VLOOKUP("&lt;SpaltenTitel_1.1&gt;",Uebersetzungen!$B$3:$E$63,Uebersetzungen!$B$2+1,FALSE)</f>
        <v>Anzahl Personen</v>
      </c>
      <c r="N14" s="64" t="str">
        <f>VLOOKUP("&lt;SpaltenTitel_1.2&gt;",Uebersetzungen!$B$3:$E$63,Uebersetzungen!$B$2+1,FALSE)</f>
        <v>Vertrauens- intervall: 
± (in %)</v>
      </c>
      <c r="O14" s="65" t="str">
        <f>VLOOKUP("&lt;SpaltenTitel_1.1&gt;",Uebersetzungen!$B$3:$E$63,Uebersetzungen!$B$2+1,FALSE)</f>
        <v>Anzahl Personen</v>
      </c>
      <c r="P14" s="64" t="str">
        <f>VLOOKUP("&lt;SpaltenTitel_1.2&gt;",Uebersetzungen!$B$3:$E$63,Uebersetzungen!$B$2+1,FALSE)</f>
        <v>Vertrauens- intervall: 
± (in %)</v>
      </c>
      <c r="Q14" s="65" t="str">
        <f>VLOOKUP("&lt;SpaltenTitel_1.1&gt;",Uebersetzungen!$B$3:$E$63,Uebersetzungen!$B$2+1,FALSE)</f>
        <v>Anzahl Personen</v>
      </c>
      <c r="R14" s="64" t="str">
        <f>VLOOKUP("&lt;SpaltenTitel_1.2&gt;",Uebersetzungen!$B$3:$E$63,Uebersetzungen!$B$2+1,FALSE)</f>
        <v>Vertrauens- intervall: 
± (in %)</v>
      </c>
      <c r="S14" s="66" t="str">
        <f>VLOOKUP("&lt;SpaltenTitel_1.1&gt;",Uebersetzungen!$B$3:$E$63,Uebersetzungen!$B$2+1,FALSE)</f>
        <v>Anzahl Personen</v>
      </c>
      <c r="T14" s="64" t="str">
        <f>VLOOKUP("&lt;SpaltenTitel_1.2&gt;",Uebersetzungen!$B$3:$E$63,Uebersetzungen!$B$2+1,FALSE)</f>
        <v>Vertrauens- intervall: 
± (in %)</v>
      </c>
      <c r="U14" s="67" t="str">
        <f>VLOOKUP("&lt;SpaltenTitel_1.1&gt;",Uebersetzungen!$B$3:$E$63,Uebersetzungen!$B$2+1,FALSE)</f>
        <v>Anzahl Personen</v>
      </c>
      <c r="V14" s="68" t="str">
        <f>VLOOKUP("&lt;SpaltenTitel_1.2&gt;",Uebersetzungen!$B$3:$E$63,Uebersetzungen!$B$2+1,FALSE)</f>
        <v>Vertrauens- intervall: 
± (in %)</v>
      </c>
    </row>
    <row r="15" spans="1:23" ht="14.25" customHeight="1" x14ac:dyDescent="0.2">
      <c r="A15" s="29" t="str">
        <f>VLOOKUP("&lt;Zeilentitel_1&gt;",Uebersetzungen!$B$3:$E$83,Uebersetzungen!$B$2+1,FALSE)</f>
        <v>Total</v>
      </c>
      <c r="B15" s="42"/>
      <c r="C15" s="69">
        <v>172987.00000000114</v>
      </c>
      <c r="D15" s="60">
        <v>0.30992133630712848</v>
      </c>
      <c r="E15" s="73">
        <v>107516.6050339214</v>
      </c>
      <c r="F15" s="61">
        <v>2.232961122009395</v>
      </c>
      <c r="G15" s="78">
        <v>84484.378066639241</v>
      </c>
      <c r="H15" s="60">
        <v>2.8657491503751027</v>
      </c>
      <c r="I15" s="78">
        <v>38165.58985068863</v>
      </c>
      <c r="J15" s="60">
        <v>5.2943750651328374</v>
      </c>
      <c r="K15" s="78">
        <v>3117.8920799168645</v>
      </c>
      <c r="L15" s="60">
        <v>20.399876907349121</v>
      </c>
      <c r="M15" s="78">
        <v>3888.4213940422633</v>
      </c>
      <c r="N15" s="60">
        <v>18.378938147536143</v>
      </c>
      <c r="O15" s="78">
        <v>21880.598770697619</v>
      </c>
      <c r="P15" s="60">
        <v>7.425221516565145</v>
      </c>
      <c r="Q15" s="78">
        <v>11372.221418532836</v>
      </c>
      <c r="R15" s="60">
        <v>10.366294802294366</v>
      </c>
      <c r="S15" s="78">
        <v>15326.952739299635</v>
      </c>
      <c r="T15" s="60">
        <v>9.0482226028985604</v>
      </c>
      <c r="U15" s="78">
        <v>6774.3293030178957</v>
      </c>
      <c r="V15" s="62">
        <v>14.630244266838282</v>
      </c>
    </row>
    <row r="16" spans="1:23" x14ac:dyDescent="0.2">
      <c r="A16" s="30" t="str">
        <f>VLOOKUP("&lt;Zeilentitel_2&gt;",Uebersetzungen!$B$3:$E$83,Uebersetzungen!$B$2+1,FALSE)</f>
        <v>Geschlecht</v>
      </c>
      <c r="B16" s="43" t="str">
        <f>VLOOKUP("&lt;Zeilentitel_2.1&gt;",Uebersetzungen!$B$3:$E$83,Uebersetzungen!$B$2+1,FALSE)</f>
        <v>Männer</v>
      </c>
      <c r="C16" s="70">
        <v>86763.000000001208</v>
      </c>
      <c r="D16" s="51">
        <v>2.8238600372240734</v>
      </c>
      <c r="E16" s="74">
        <v>57842.104227609132</v>
      </c>
      <c r="F16" s="54">
        <v>4.0209828631228257</v>
      </c>
      <c r="G16" s="79">
        <v>45258.726726854424</v>
      </c>
      <c r="H16" s="51">
        <v>4.7285666386769405</v>
      </c>
      <c r="I16" s="79">
        <v>19207.866541070991</v>
      </c>
      <c r="J16" s="51">
        <v>8.0407781699238559</v>
      </c>
      <c r="K16" s="79">
        <v>1797.5696252467628</v>
      </c>
      <c r="L16" s="51">
        <v>27.307745614737868</v>
      </c>
      <c r="M16" s="79">
        <v>2589.5431733712276</v>
      </c>
      <c r="N16" s="51">
        <v>22.728847991775208</v>
      </c>
      <c r="O16" s="79">
        <v>12791.821718896776</v>
      </c>
      <c r="P16" s="51">
        <v>10.072779216707008</v>
      </c>
      <c r="Q16" s="79">
        <v>6797.8909225599682</v>
      </c>
      <c r="R16" s="51">
        <v>13.634597049845356</v>
      </c>
      <c r="S16" s="79">
        <v>8809.2938318969536</v>
      </c>
      <c r="T16" s="51">
        <v>12.320823664047472</v>
      </c>
      <c r="U16" s="79">
        <v>4400.3680722037807</v>
      </c>
      <c r="V16" s="47">
        <v>18.362928794584032</v>
      </c>
    </row>
    <row r="17" spans="1:22" x14ac:dyDescent="0.2">
      <c r="A17" s="31"/>
      <c r="B17" s="44" t="str">
        <f>VLOOKUP("&lt;Zeilentitel_2.2&gt;",Uebersetzungen!$B$3:$E$83,Uebersetzungen!$B$2+1,FALSE)</f>
        <v>Frauen</v>
      </c>
      <c r="C17" s="70">
        <v>86223.999999999927</v>
      </c>
      <c r="D17" s="51">
        <v>2.7581960888754864</v>
      </c>
      <c r="E17" s="74">
        <v>49674.500806312266</v>
      </c>
      <c r="F17" s="54">
        <v>4.3744449704502717</v>
      </c>
      <c r="G17" s="79">
        <v>39225.651339784818</v>
      </c>
      <c r="H17" s="51">
        <v>5.0861281500929216</v>
      </c>
      <c r="I17" s="79">
        <v>18957.723309617639</v>
      </c>
      <c r="J17" s="51">
        <v>7.9142364583275064</v>
      </c>
      <c r="K17" s="80">
        <v>1320.3224546701015</v>
      </c>
      <c r="L17" s="52">
        <v>30.970084459786573</v>
      </c>
      <c r="M17" s="80">
        <v>1298.8782206710357</v>
      </c>
      <c r="N17" s="52">
        <v>31.68934061270074</v>
      </c>
      <c r="O17" s="79">
        <v>9088.7770518008438</v>
      </c>
      <c r="P17" s="51">
        <v>11.830223808080426</v>
      </c>
      <c r="Q17" s="79">
        <v>4574.3304959728675</v>
      </c>
      <c r="R17" s="51">
        <v>16.61935407724442</v>
      </c>
      <c r="S17" s="79">
        <v>6517.6589074026806</v>
      </c>
      <c r="T17" s="51">
        <v>13.999027023669779</v>
      </c>
      <c r="U17" s="79">
        <v>2373.9612308141154</v>
      </c>
      <c r="V17" s="47">
        <v>24.750551118142862</v>
      </c>
    </row>
    <row r="18" spans="1:22" x14ac:dyDescent="0.2">
      <c r="A18" s="32" t="str">
        <f>VLOOKUP("&lt;Zeilentitel_3&gt;",Uebersetzungen!$B$3:$E$83,Uebersetzungen!$B$2+1,FALSE)</f>
        <v>Alter</v>
      </c>
      <c r="B18" s="25" t="str">
        <f>VLOOKUP("&lt;Zeilentitel_3.1&gt;",Uebersetzungen!$B$3:$E$83,Uebersetzungen!$B$2+1,FALSE)</f>
        <v>15-24</v>
      </c>
      <c r="C18" s="70">
        <v>18891.000000000175</v>
      </c>
      <c r="D18" s="51">
        <v>8.1326481053992357</v>
      </c>
      <c r="E18" s="74">
        <v>9667.7748313238117</v>
      </c>
      <c r="F18" s="54">
        <v>11.78626097906268</v>
      </c>
      <c r="G18" s="79">
        <v>8538.3946137223193</v>
      </c>
      <c r="H18" s="51">
        <v>12.485878374261654</v>
      </c>
      <c r="I18" s="79">
        <v>3427.6355603243064</v>
      </c>
      <c r="J18" s="51">
        <v>20.223293731545702</v>
      </c>
      <c r="K18" s="79" t="s">
        <v>114</v>
      </c>
      <c r="L18" s="51" t="s">
        <v>114</v>
      </c>
      <c r="M18" s="80">
        <v>318.08347321113308</v>
      </c>
      <c r="N18" s="52">
        <v>64.504738390297717</v>
      </c>
      <c r="O18" s="80">
        <v>1752.1224565863743</v>
      </c>
      <c r="P18" s="52">
        <v>28.316537102334475</v>
      </c>
      <c r="Q18" s="80">
        <v>1134.3978796909919</v>
      </c>
      <c r="R18" s="52">
        <v>34.155836371101216</v>
      </c>
      <c r="S18" s="79">
        <v>2063.9509245539225</v>
      </c>
      <c r="T18" s="51">
        <v>26.271566340783924</v>
      </c>
      <c r="U18" s="80">
        <v>581.23629748270912</v>
      </c>
      <c r="V18" s="48">
        <v>54.382798907533704</v>
      </c>
    </row>
    <row r="19" spans="1:22" x14ac:dyDescent="0.2">
      <c r="A19" s="33"/>
      <c r="B19" s="45" t="str">
        <f>VLOOKUP("&lt;Zeilentitel_3.2&gt;",Uebersetzungen!$B$3:$E$83,Uebersetzungen!$B$2+1,FALSE)</f>
        <v>25-44</v>
      </c>
      <c r="C19" s="70">
        <v>50864.000000000393</v>
      </c>
      <c r="D19" s="51">
        <v>4.4311277725070441</v>
      </c>
      <c r="E19" s="74">
        <v>44851.960709565974</v>
      </c>
      <c r="F19" s="54">
        <v>4.7992897179590832</v>
      </c>
      <c r="G19" s="79">
        <v>35359.071451218384</v>
      </c>
      <c r="H19" s="51">
        <v>5.5434714022797067</v>
      </c>
      <c r="I19" s="79">
        <v>17680.884261831092</v>
      </c>
      <c r="J19" s="51">
        <v>8.3901368078674192</v>
      </c>
      <c r="K19" s="80">
        <v>1352.7152259648021</v>
      </c>
      <c r="L19" s="52">
        <v>31.473454381252068</v>
      </c>
      <c r="M19" s="80">
        <v>1712.1421286400127</v>
      </c>
      <c r="N19" s="52">
        <v>28.191440329393096</v>
      </c>
      <c r="O19" s="79">
        <v>9894.7285013567525</v>
      </c>
      <c r="P19" s="51">
        <v>11.500226597642802</v>
      </c>
      <c r="Q19" s="79">
        <v>4623.0591515726928</v>
      </c>
      <c r="R19" s="51">
        <v>16.70647291142166</v>
      </c>
      <c r="S19" s="79">
        <v>7613.8518036686328</v>
      </c>
      <c r="T19" s="51">
        <v>13.227898042027117</v>
      </c>
      <c r="U19" s="79">
        <v>3613.9382667906898</v>
      </c>
      <c r="V19" s="47">
        <v>20.189125258450776</v>
      </c>
    </row>
    <row r="20" spans="1:22" x14ac:dyDescent="0.2">
      <c r="A20" s="34"/>
      <c r="B20" s="45" t="str">
        <f>VLOOKUP("&lt;Zeilentitel_3.3&gt;",Uebersetzungen!$B$3:$E$83,Uebersetzungen!$B$2+1,FALSE)</f>
        <v>45-64</v>
      </c>
      <c r="C20" s="70">
        <v>59080.000000000189</v>
      </c>
      <c r="D20" s="51">
        <v>3.8848078343530807</v>
      </c>
      <c r="E20" s="74">
        <v>49459.837402755053</v>
      </c>
      <c r="F20" s="54">
        <v>4.39615730160462</v>
      </c>
      <c r="G20" s="79">
        <v>37570.770084139978</v>
      </c>
      <c r="H20" s="51">
        <v>5.2341279530934255</v>
      </c>
      <c r="I20" s="79">
        <v>15921.196408257849</v>
      </c>
      <c r="J20" s="51">
        <v>8.7280431231923856</v>
      </c>
      <c r="K20" s="80">
        <v>1497.7567379682971</v>
      </c>
      <c r="L20" s="52">
        <v>29.396433839554799</v>
      </c>
      <c r="M20" s="79">
        <v>1761.4137823335186</v>
      </c>
      <c r="N20" s="51">
        <v>27.275630703989485</v>
      </c>
      <c r="O20" s="79">
        <v>9677.3233441571283</v>
      </c>
      <c r="P20" s="51">
        <v>11.535771411846952</v>
      </c>
      <c r="Q20" s="79">
        <v>5256.2564942142144</v>
      </c>
      <c r="R20" s="51">
        <v>15.4493599522855</v>
      </c>
      <c r="S20" s="79">
        <v>5120.0063152262674</v>
      </c>
      <c r="T20" s="51">
        <v>15.87125977910507</v>
      </c>
      <c r="U20" s="79">
        <v>2515.3655828612095</v>
      </c>
      <c r="V20" s="47">
        <v>23.929650085022637</v>
      </c>
    </row>
    <row r="21" spans="1:22" x14ac:dyDescent="0.2">
      <c r="A21" s="34"/>
      <c r="B21" s="45" t="str">
        <f>VLOOKUP("&lt;Zeilentitel_3.4&gt;",Uebersetzungen!$B$3:$E$83,Uebersetzungen!$B$2+1,FALSE)</f>
        <v>65 und älter</v>
      </c>
      <c r="C21" s="70">
        <v>44152.000000000502</v>
      </c>
      <c r="D21" s="51">
        <v>4.5017942121198447</v>
      </c>
      <c r="E21" s="74">
        <v>3537.0320902765839</v>
      </c>
      <c r="F21" s="54">
        <v>18.346560168031488</v>
      </c>
      <c r="G21" s="79">
        <v>3016.1419175585693</v>
      </c>
      <c r="H21" s="51">
        <v>19.763762212065906</v>
      </c>
      <c r="I21" s="80">
        <v>1135.873620275366</v>
      </c>
      <c r="J21" s="52">
        <v>32.668641604863659</v>
      </c>
      <c r="K21" s="80">
        <v>160.1182721889916</v>
      </c>
      <c r="L21" s="52">
        <v>86.50336093316885</v>
      </c>
      <c r="M21" s="79" t="s">
        <v>114</v>
      </c>
      <c r="N21" s="51" t="s">
        <v>114</v>
      </c>
      <c r="O21" s="80">
        <v>556.42446859737174</v>
      </c>
      <c r="P21" s="52">
        <v>46.882131045430846</v>
      </c>
      <c r="Q21" s="80">
        <v>358.50789305493868</v>
      </c>
      <c r="R21" s="52">
        <v>58.267203041568735</v>
      </c>
      <c r="S21" s="80">
        <v>529.14369585080567</v>
      </c>
      <c r="T21" s="52">
        <v>48.426095777394565</v>
      </c>
      <c r="U21" s="79" t="s">
        <v>114</v>
      </c>
      <c r="V21" s="47" t="s">
        <v>114</v>
      </c>
    </row>
    <row r="22" spans="1:22" x14ac:dyDescent="0.2">
      <c r="A22" s="30" t="str">
        <f>VLOOKUP("&lt;Zeilentitel_4&gt;",Uebersetzungen!$B$3:$E$83,Uebersetzungen!$B$2+1,FALSE)</f>
        <v>Staatsangehörigkeit</v>
      </c>
      <c r="B22" s="43" t="str">
        <f>VLOOKUP("&lt;Zeilentitel_4.1&gt;",Uebersetzungen!$B$3:$E$83,Uebersetzungen!$B$2+1,FALSE)</f>
        <v>Schweiz</v>
      </c>
      <c r="C22" s="70">
        <v>139204.00000000111</v>
      </c>
      <c r="D22" s="51">
        <v>1.2994587979741978</v>
      </c>
      <c r="E22" s="74">
        <v>82533.454274684555</v>
      </c>
      <c r="F22" s="54">
        <v>2.8833812738239377</v>
      </c>
      <c r="G22" s="79">
        <v>73142.987716845164</v>
      </c>
      <c r="H22" s="51">
        <v>3.2183663967815295</v>
      </c>
      <c r="I22" s="79">
        <v>24926.607334621807</v>
      </c>
      <c r="J22" s="51">
        <v>6.6885474017227873</v>
      </c>
      <c r="K22" s="79">
        <v>2563.9191777145911</v>
      </c>
      <c r="L22" s="51">
        <v>22.396955840942532</v>
      </c>
      <c r="M22" s="79">
        <v>3547.846387327319</v>
      </c>
      <c r="N22" s="51">
        <v>19.072977160920196</v>
      </c>
      <c r="O22" s="79">
        <v>14241.887827248747</v>
      </c>
      <c r="P22" s="51">
        <v>9.212564029311725</v>
      </c>
      <c r="Q22" s="79">
        <v>11025.120215244853</v>
      </c>
      <c r="R22" s="51">
        <v>10.520314980737624</v>
      </c>
      <c r="S22" s="79">
        <v>10406.724677423588</v>
      </c>
      <c r="T22" s="51">
        <v>10.913435708358962</v>
      </c>
      <c r="U22" s="79">
        <v>1820.0113911568576</v>
      </c>
      <c r="V22" s="47">
        <v>26.992232441394123</v>
      </c>
    </row>
    <row r="23" spans="1:22" x14ac:dyDescent="0.2">
      <c r="A23" s="32"/>
      <c r="B23" s="45" t="str">
        <f>VLOOKUP("&lt;Zeilentitel_4.2&gt;",Uebersetzungen!$B$3:$E$83,Uebersetzungen!$B$2+1,FALSE)</f>
        <v>EU und EFTA</v>
      </c>
      <c r="C23" s="70">
        <v>27064.983765801488</v>
      </c>
      <c r="D23" s="51">
        <v>6.8207002529804068</v>
      </c>
      <c r="E23" s="74">
        <v>20642.615116507011</v>
      </c>
      <c r="F23" s="54">
        <v>7.9649983048377582</v>
      </c>
      <c r="G23" s="79">
        <v>9162.5893156943348</v>
      </c>
      <c r="H23" s="51">
        <v>12.280149727667681</v>
      </c>
      <c r="I23" s="79">
        <v>10399.058108908654</v>
      </c>
      <c r="J23" s="51">
        <v>11.443443689793236</v>
      </c>
      <c r="K23" s="80">
        <v>519.9259658123791</v>
      </c>
      <c r="L23" s="52">
        <v>51.845833728281562</v>
      </c>
      <c r="M23" s="80">
        <v>340.5750067149441</v>
      </c>
      <c r="N23" s="52">
        <v>68.651063419805013</v>
      </c>
      <c r="O23" s="79">
        <v>7239.0013562554577</v>
      </c>
      <c r="P23" s="51">
        <v>14.042953669300225</v>
      </c>
      <c r="Q23" s="80">
        <v>347.10120328798763</v>
      </c>
      <c r="R23" s="52">
        <v>64.585068574466334</v>
      </c>
      <c r="S23" s="79">
        <v>3907.1290812815082</v>
      </c>
      <c r="T23" s="51">
        <v>19.121626417689452</v>
      </c>
      <c r="U23" s="79">
        <v>4091.3383864933476</v>
      </c>
      <c r="V23" s="47">
        <v>19.320733684159247</v>
      </c>
    </row>
    <row r="24" spans="1:22" x14ac:dyDescent="0.2">
      <c r="A24" s="32"/>
      <c r="B24" s="45" t="str">
        <f>VLOOKUP("&lt;Zeilentitel_4.3&gt;",Uebersetzungen!$B$3:$E$83,Uebersetzungen!$B$2+1,FALSE)</f>
        <v>Anderer europäischer Staat</v>
      </c>
      <c r="C24" s="70">
        <v>3125.918260586051</v>
      </c>
      <c r="D24" s="51">
        <v>22.433578658784249</v>
      </c>
      <c r="E24" s="75">
        <v>2042.9742457890352</v>
      </c>
      <c r="F24" s="55">
        <v>27.883151269538786</v>
      </c>
      <c r="G24" s="80">
        <v>1364.3753234433307</v>
      </c>
      <c r="H24" s="52">
        <v>33.945770074932696</v>
      </c>
      <c r="I24" s="80">
        <v>1151.3921238540477</v>
      </c>
      <c r="J24" s="52">
        <v>36.765672245125245</v>
      </c>
      <c r="K24" s="79" t="s">
        <v>114</v>
      </c>
      <c r="L24" s="51" t="s">
        <v>114</v>
      </c>
      <c r="M24" s="79" t="s">
        <v>114</v>
      </c>
      <c r="N24" s="51" t="s">
        <v>114</v>
      </c>
      <c r="O24" s="80">
        <v>187.60284541504325</v>
      </c>
      <c r="P24" s="52">
        <v>86.564669976554868</v>
      </c>
      <c r="Q24" s="79" t="s">
        <v>114</v>
      </c>
      <c r="R24" s="51" t="s">
        <v>114</v>
      </c>
      <c r="S24" s="80">
        <v>516.58461796303311</v>
      </c>
      <c r="T24" s="52">
        <v>57.035528877975175</v>
      </c>
      <c r="U24" s="80">
        <v>430.4287289444901</v>
      </c>
      <c r="V24" s="48">
        <v>61.944964426182928</v>
      </c>
    </row>
    <row r="25" spans="1:22" x14ac:dyDescent="0.2">
      <c r="A25" s="32"/>
      <c r="B25" s="45" t="str">
        <f>VLOOKUP("&lt;Zeilentitel_4.4&gt;",Uebersetzungen!$B$3:$E$83,Uebersetzungen!$B$2+1,FALSE)</f>
        <v>Andere Staaten</v>
      </c>
      <c r="C25" s="70">
        <v>3592.0979736129125</v>
      </c>
      <c r="D25" s="51">
        <v>20.785204303073488</v>
      </c>
      <c r="E25" s="74">
        <v>2297.56139694067</v>
      </c>
      <c r="F25" s="54">
        <v>25.761238859116101</v>
      </c>
      <c r="G25" s="80">
        <v>814.42571065624907</v>
      </c>
      <c r="H25" s="52">
        <v>44.751563301477141</v>
      </c>
      <c r="I25" s="80">
        <v>1688.5322833041262</v>
      </c>
      <c r="J25" s="52">
        <v>30.048265010030995</v>
      </c>
      <c r="K25" s="79" t="s">
        <v>114</v>
      </c>
      <c r="L25" s="51" t="s">
        <v>114</v>
      </c>
      <c r="M25" s="79" t="s">
        <v>114</v>
      </c>
      <c r="N25" s="51" t="s">
        <v>114</v>
      </c>
      <c r="O25" s="80">
        <v>212.1067417783741</v>
      </c>
      <c r="P25" s="52">
        <v>79.132564789919243</v>
      </c>
      <c r="Q25" s="79" t="s">
        <v>114</v>
      </c>
      <c r="R25" s="51" t="s">
        <v>114</v>
      </c>
      <c r="S25" s="80">
        <v>496.51436263150515</v>
      </c>
      <c r="T25" s="52">
        <v>54.279508329272296</v>
      </c>
      <c r="U25" s="80">
        <v>432.55079642320163</v>
      </c>
      <c r="V25" s="48">
        <v>58.647862016592889</v>
      </c>
    </row>
    <row r="26" spans="1:22" x14ac:dyDescent="0.2">
      <c r="A26" s="31"/>
      <c r="B26" s="45" t="str">
        <f>VLOOKUP("&lt;Zeilentitel_4.5&gt;",Uebersetzungen!$B$3:$E$83,Uebersetzungen!$B$2+1,FALSE)</f>
        <v>Staatsangehörigkeit unbekannt</v>
      </c>
      <c r="C26" s="70" t="s">
        <v>114</v>
      </c>
      <c r="D26" s="51" t="s">
        <v>114</v>
      </c>
      <c r="E26" s="74" t="s">
        <v>114</v>
      </c>
      <c r="F26" s="54" t="s">
        <v>114</v>
      </c>
      <c r="G26" s="79" t="s">
        <v>114</v>
      </c>
      <c r="H26" s="51" t="s">
        <v>114</v>
      </c>
      <c r="I26" s="79" t="s">
        <v>114</v>
      </c>
      <c r="J26" s="51" t="s">
        <v>114</v>
      </c>
      <c r="K26" s="79" t="s">
        <v>114</v>
      </c>
      <c r="L26" s="51" t="s">
        <v>114</v>
      </c>
      <c r="M26" s="79" t="s">
        <v>114</v>
      </c>
      <c r="N26" s="51" t="s">
        <v>114</v>
      </c>
      <c r="O26" s="79" t="s">
        <v>114</v>
      </c>
      <c r="P26" s="51" t="s">
        <v>114</v>
      </c>
      <c r="Q26" s="79" t="s">
        <v>114</v>
      </c>
      <c r="R26" s="51" t="s">
        <v>114</v>
      </c>
      <c r="S26" s="79" t="s">
        <v>114</v>
      </c>
      <c r="T26" s="51" t="s">
        <v>114</v>
      </c>
      <c r="U26" s="79" t="s">
        <v>114</v>
      </c>
      <c r="V26" s="47" t="s">
        <v>114</v>
      </c>
    </row>
    <row r="27" spans="1:22" x14ac:dyDescent="0.2">
      <c r="A27" s="30" t="str">
        <f>VLOOKUP("&lt;Zeilentitel_5&gt;",Uebersetzungen!$B$3:$E$83,Uebersetzungen!$B$2+1,FALSE)</f>
        <v>Migrationsstatus</v>
      </c>
      <c r="B27" s="43" t="str">
        <f>VLOOKUP("&lt;Zeilentitel_5.1&gt;",Uebersetzungen!$B$3:$E$83,Uebersetzungen!$B$2+1,FALSE)</f>
        <v>Schweizer/innen ohne Migrationshintergrund</v>
      </c>
      <c r="C27" s="70">
        <v>122616.61450815987</v>
      </c>
      <c r="D27" s="51">
        <v>1.7145052831186325</v>
      </c>
      <c r="E27" s="74">
        <v>72667.127643279033</v>
      </c>
      <c r="F27" s="54">
        <v>3.2354314805134106</v>
      </c>
      <c r="G27" s="79">
        <v>65711.182988910296</v>
      </c>
      <c r="H27" s="51">
        <v>3.5190819028891589</v>
      </c>
      <c r="I27" s="79">
        <v>20609.624554814349</v>
      </c>
      <c r="J27" s="51">
        <v>7.4604894237786947</v>
      </c>
      <c r="K27" s="79">
        <v>2127.5906784788485</v>
      </c>
      <c r="L27" s="51">
        <v>24.67307906060914</v>
      </c>
      <c r="M27" s="79">
        <v>3200.9967571304169</v>
      </c>
      <c r="N27" s="51">
        <v>20.115962868484623</v>
      </c>
      <c r="O27" s="79">
        <v>11927.729228786246</v>
      </c>
      <c r="P27" s="51">
        <v>10.144525161042584</v>
      </c>
      <c r="Q27" s="79">
        <v>10531.565636543892</v>
      </c>
      <c r="R27" s="51">
        <v>10.777097876193507</v>
      </c>
      <c r="S27" s="79">
        <v>8752.8547845317207</v>
      </c>
      <c r="T27" s="51">
        <v>11.949079190986312</v>
      </c>
      <c r="U27" s="80">
        <v>1046.7238535463894</v>
      </c>
      <c r="V27" s="48">
        <v>35.893301744245079</v>
      </c>
    </row>
    <row r="28" spans="1:22" x14ac:dyDescent="0.2">
      <c r="A28" s="32"/>
      <c r="B28" s="45" t="str">
        <f>VLOOKUP("&lt;Zeilentitel_5.2&gt;",Uebersetzungen!$B$3:$E$83,Uebersetzungen!$B$2+1,FALSE)</f>
        <v>Schweizer/innen mit Migrationshintergrund</v>
      </c>
      <c r="C28" s="70">
        <v>15629.546250560858</v>
      </c>
      <c r="D28" s="51">
        <v>8.6791579709556306</v>
      </c>
      <c r="E28" s="74">
        <v>9176.3273979850055</v>
      </c>
      <c r="F28" s="54">
        <v>11.6431167836183</v>
      </c>
      <c r="G28" s="79">
        <v>6855.101306515221</v>
      </c>
      <c r="H28" s="51">
        <v>13.565805471535384</v>
      </c>
      <c r="I28" s="79">
        <v>4062.6510745412434</v>
      </c>
      <c r="J28" s="51">
        <v>17.711465443994889</v>
      </c>
      <c r="K28" s="80">
        <v>366.08094896078984</v>
      </c>
      <c r="L28" s="52">
        <v>58.844081711535594</v>
      </c>
      <c r="M28" s="80">
        <v>346.8496301969019</v>
      </c>
      <c r="N28" s="52">
        <v>61.133531881627235</v>
      </c>
      <c r="O28" s="79">
        <v>2092.6980256883753</v>
      </c>
      <c r="P28" s="51">
        <v>24.804014366719514</v>
      </c>
      <c r="Q28" s="80">
        <v>379.08214082107054</v>
      </c>
      <c r="R28" s="52">
        <v>58.248268589732277</v>
      </c>
      <c r="S28" s="80">
        <v>1513.0580094475454</v>
      </c>
      <c r="T28" s="52">
        <v>29.542198640897279</v>
      </c>
      <c r="U28" s="80">
        <v>699.74882678563176</v>
      </c>
      <c r="V28" s="48">
        <v>43.183850161299972</v>
      </c>
    </row>
    <row r="29" spans="1:22" x14ac:dyDescent="0.2">
      <c r="A29" s="32"/>
      <c r="B29" s="45" t="str">
        <f>VLOOKUP("&lt;Zeilentitel_5.3&gt;",Uebersetzungen!$B$3:$E$83,Uebersetzungen!$B$2+1,FALSE)</f>
        <v>Ausländer/innen der ersten Generation</v>
      </c>
      <c r="C29" s="70">
        <v>31359.402603251627</v>
      </c>
      <c r="D29" s="51">
        <v>6.3087876246097645</v>
      </c>
      <c r="E29" s="74">
        <v>23572.407097970074</v>
      </c>
      <c r="F29" s="54">
        <v>7.4371018200852976</v>
      </c>
      <c r="G29" s="79">
        <v>10026.249385017109</v>
      </c>
      <c r="H29" s="51">
        <v>11.827533207330932</v>
      </c>
      <c r="I29" s="79">
        <v>12468.125237960414</v>
      </c>
      <c r="J29" s="51">
        <v>10.450771262986025</v>
      </c>
      <c r="K29" s="80">
        <v>523.02527525844653</v>
      </c>
      <c r="L29" s="52">
        <v>51.803748927466657</v>
      </c>
      <c r="M29" s="80">
        <v>340.5750067149441</v>
      </c>
      <c r="N29" s="52">
        <v>68.651063419805013</v>
      </c>
      <c r="O29" s="79">
        <v>7332.292509405801</v>
      </c>
      <c r="P29" s="51">
        <v>13.924877005623667</v>
      </c>
      <c r="Q29" s="80">
        <v>303.85920446358665</v>
      </c>
      <c r="R29" s="52">
        <v>68.477690151455576</v>
      </c>
      <c r="S29" s="79">
        <v>4618.4656438631973</v>
      </c>
      <c r="T29" s="51">
        <v>17.729913260540574</v>
      </c>
      <c r="U29" s="79">
        <v>4754.2912737769793</v>
      </c>
      <c r="V29" s="47">
        <v>17.921764137965777</v>
      </c>
    </row>
    <row r="30" spans="1:22" ht="25.5" x14ac:dyDescent="0.2">
      <c r="A30" s="32"/>
      <c r="B30" s="45" t="str">
        <f>VLOOKUP("&lt;Zeilentitel_5.4&gt;",Uebersetzungen!$B$3:$E$83,Uebersetzungen!$B$2+1,FALSE)</f>
        <v>Ausländer/innen der zweiten und höheren Generation</v>
      </c>
      <c r="C30" s="70">
        <v>2340.0852101068194</v>
      </c>
      <c r="D30" s="51">
        <v>25.364680650187399</v>
      </c>
      <c r="E30" s="75">
        <v>1410.7436612666393</v>
      </c>
      <c r="F30" s="55">
        <v>32.638101577803944</v>
      </c>
      <c r="G30" s="80">
        <v>1315.1409647768085</v>
      </c>
      <c r="H30" s="52">
        <v>33.587749549141783</v>
      </c>
      <c r="I30" s="80">
        <v>770.85727810640935</v>
      </c>
      <c r="J30" s="52">
        <v>45.249205624053197</v>
      </c>
      <c r="K30" s="79" t="s">
        <v>114</v>
      </c>
      <c r="L30" s="51" t="s">
        <v>114</v>
      </c>
      <c r="M30" s="79" t="s">
        <v>114</v>
      </c>
      <c r="N30" s="51" t="s">
        <v>114</v>
      </c>
      <c r="O30" s="80">
        <v>306.41843404307201</v>
      </c>
      <c r="P30" s="52">
        <v>68.80392038603938</v>
      </c>
      <c r="Q30" s="79" t="s">
        <v>114</v>
      </c>
      <c r="R30" s="51" t="s">
        <v>114</v>
      </c>
      <c r="S30" s="80">
        <v>301.76241801284732</v>
      </c>
      <c r="T30" s="52">
        <v>68.564964668506263</v>
      </c>
      <c r="U30" s="80">
        <v>200.02663808405927</v>
      </c>
      <c r="V30" s="48">
        <v>86.735645367137536</v>
      </c>
    </row>
    <row r="31" spans="1:22" x14ac:dyDescent="0.2">
      <c r="A31" s="31"/>
      <c r="B31" s="45" t="str">
        <f>VLOOKUP("&lt;Zeilentitel_5.5&gt;",Uebersetzungen!$B$3:$E$83,Uebersetzungen!$B$2+1,FALSE)</f>
        <v>Migrationshintergrund unbekannt</v>
      </c>
      <c r="C31" s="71">
        <v>1041.3514279221372</v>
      </c>
      <c r="D31" s="52">
        <v>35.886950195120697</v>
      </c>
      <c r="E31" s="75">
        <v>689.99923342051773</v>
      </c>
      <c r="F31" s="55">
        <v>44.314569623584681</v>
      </c>
      <c r="G31" s="80">
        <v>576.70342141972776</v>
      </c>
      <c r="H31" s="52">
        <v>48.283195470329758</v>
      </c>
      <c r="I31" s="80">
        <v>254.33170526621569</v>
      </c>
      <c r="J31" s="52">
        <v>73.083970175319223</v>
      </c>
      <c r="K31" s="79" t="s">
        <v>114</v>
      </c>
      <c r="L31" s="51" t="s">
        <v>114</v>
      </c>
      <c r="M31" s="79" t="s">
        <v>114</v>
      </c>
      <c r="N31" s="51" t="s">
        <v>114</v>
      </c>
      <c r="O31" s="80">
        <v>221.46057277413072</v>
      </c>
      <c r="P31" s="52">
        <v>78.928255973435384</v>
      </c>
      <c r="Q31" s="79" t="s">
        <v>114</v>
      </c>
      <c r="R31" s="51" t="s">
        <v>114</v>
      </c>
      <c r="S31" s="79" t="s">
        <v>114</v>
      </c>
      <c r="T31" s="51" t="s">
        <v>114</v>
      </c>
      <c r="U31" s="79" t="s">
        <v>114</v>
      </c>
      <c r="V31" s="47" t="s">
        <v>114</v>
      </c>
    </row>
    <row r="32" spans="1:22" x14ac:dyDescent="0.2">
      <c r="A32" s="30" t="str">
        <f>VLOOKUP("&lt;Zeilentitel_6&gt;",Uebersetzungen!$B$3:$E$83,Uebersetzungen!$B$2+1,FALSE)</f>
        <v>Arbeitsmarktstatus</v>
      </c>
      <c r="B32" s="43" t="str">
        <f>VLOOKUP("&lt;Zeilentitel_6.1&gt;",Uebersetzungen!$B$3:$E$83,Uebersetzungen!$B$2+1,FALSE)</f>
        <v>Vollzeiterwerbstätige (90-100%)</v>
      </c>
      <c r="C32" s="70">
        <v>72810.078500211428</v>
      </c>
      <c r="D32" s="51">
        <v>3.3405328097835763</v>
      </c>
      <c r="E32" s="74">
        <v>72810.078500211428</v>
      </c>
      <c r="F32" s="54">
        <v>3.3405328097835763</v>
      </c>
      <c r="G32" s="79">
        <v>55194.439076991941</v>
      </c>
      <c r="H32" s="51">
        <v>4.0960254844649864</v>
      </c>
      <c r="I32" s="79">
        <v>25947.320442470125</v>
      </c>
      <c r="J32" s="51">
        <v>6.7262379896974638</v>
      </c>
      <c r="K32" s="79">
        <v>2253.454892308413</v>
      </c>
      <c r="L32" s="51">
        <v>24.12951402417854</v>
      </c>
      <c r="M32" s="79">
        <v>3020.1713130391631</v>
      </c>
      <c r="N32" s="51">
        <v>21.006241433474258</v>
      </c>
      <c r="O32" s="79">
        <v>16978.858102733026</v>
      </c>
      <c r="P32" s="51">
        <v>8.5946640825747238</v>
      </c>
      <c r="Q32" s="79">
        <v>8352.6132811172465</v>
      </c>
      <c r="R32" s="51">
        <v>12.224148861362039</v>
      </c>
      <c r="S32" s="79">
        <v>12080.819137177379</v>
      </c>
      <c r="T32" s="51">
        <v>10.353081084506609</v>
      </c>
      <c r="U32" s="79">
        <v>5982.2979560199919</v>
      </c>
      <c r="V32" s="47">
        <v>15.650691838918606</v>
      </c>
    </row>
    <row r="33" spans="1:22" x14ac:dyDescent="0.2">
      <c r="A33" s="32"/>
      <c r="B33" s="45" t="str">
        <f>VLOOKUP("&lt;Zeilentitel_6.2&gt;",Uebersetzungen!$B$3:$E$83,Uebersetzungen!$B$2+1,FALSE)</f>
        <v>Teilzeiterwerbstätige I (70-89%)</v>
      </c>
      <c r="C33" s="70">
        <v>10696.271861958347</v>
      </c>
      <c r="D33" s="51">
        <v>10.81338442635022</v>
      </c>
      <c r="E33" s="74">
        <v>10696.271861958347</v>
      </c>
      <c r="F33" s="54">
        <v>10.81338442635022</v>
      </c>
      <c r="G33" s="79">
        <v>9007.2711787001444</v>
      </c>
      <c r="H33" s="51">
        <v>11.825584395082473</v>
      </c>
      <c r="I33" s="79">
        <v>3746.0389328175502</v>
      </c>
      <c r="J33" s="51">
        <v>18.654701384105174</v>
      </c>
      <c r="K33" s="80">
        <v>422.7233164276069</v>
      </c>
      <c r="L33" s="52">
        <v>55.867467665518816</v>
      </c>
      <c r="M33" s="80">
        <v>214.28904932454788</v>
      </c>
      <c r="N33" s="52">
        <v>78.952759385225491</v>
      </c>
      <c r="O33" s="80">
        <v>1404.1147779413977</v>
      </c>
      <c r="P33" s="52">
        <v>30.934529457408257</v>
      </c>
      <c r="Q33" s="80">
        <v>833.98987712816427</v>
      </c>
      <c r="R33" s="52">
        <v>39.380728371433229</v>
      </c>
      <c r="S33" s="80">
        <v>1212.2466140512504</v>
      </c>
      <c r="T33" s="52">
        <v>33.152099063729672</v>
      </c>
      <c r="U33" s="80">
        <v>254.43172905463049</v>
      </c>
      <c r="V33" s="48">
        <v>73.245060544999916</v>
      </c>
    </row>
    <row r="34" spans="1:22" x14ac:dyDescent="0.2">
      <c r="A34" s="32"/>
      <c r="B34" s="45" t="str">
        <f>VLOOKUP("&lt;Zeilentitel_6.3&gt;",Uebersetzungen!$B$3:$E$83,Uebersetzungen!$B$2+1,FALSE)</f>
        <v>Teilzeiterwerbstätige II (50-69%)</v>
      </c>
      <c r="C34" s="70">
        <v>10550.671687475708</v>
      </c>
      <c r="D34" s="51">
        <v>10.89240768571144</v>
      </c>
      <c r="E34" s="74">
        <v>10550.671687475708</v>
      </c>
      <c r="F34" s="54">
        <v>10.89240768571144</v>
      </c>
      <c r="G34" s="79">
        <v>8860.0325761603362</v>
      </c>
      <c r="H34" s="51">
        <v>11.920877650499044</v>
      </c>
      <c r="I34" s="79">
        <v>3853.142332095003</v>
      </c>
      <c r="J34" s="51">
        <v>18.386440154976359</v>
      </c>
      <c r="K34" s="80">
        <v>308.18359444449652</v>
      </c>
      <c r="L34" s="52">
        <v>64.658846316585553</v>
      </c>
      <c r="M34" s="80">
        <v>310.2538082816003</v>
      </c>
      <c r="N34" s="52">
        <v>64.371921491210685</v>
      </c>
      <c r="O34" s="80">
        <v>1448.5787100608143</v>
      </c>
      <c r="P34" s="52">
        <v>30.553562195077028</v>
      </c>
      <c r="Q34" s="80">
        <v>954.86378471910598</v>
      </c>
      <c r="R34" s="52">
        <v>37.148404461499858</v>
      </c>
      <c r="S34" s="80">
        <v>1003.6846832222615</v>
      </c>
      <c r="T34" s="52">
        <v>35.960250822942875</v>
      </c>
      <c r="U34" s="80">
        <v>188.38914121678869</v>
      </c>
      <c r="V34" s="48">
        <v>87.306910126323885</v>
      </c>
    </row>
    <row r="35" spans="1:22" x14ac:dyDescent="0.2">
      <c r="A35" s="31"/>
      <c r="B35" s="45" t="str">
        <f>VLOOKUP("&lt;Zeilentitel_6.4&gt;",Uebersetzungen!$B$3:$E$83,Uebersetzungen!$B$2+1,FALSE)</f>
        <v>Teilzeiterwerbstätige III (weniger als 50%)</v>
      </c>
      <c r="C35" s="70">
        <v>13459.58298427581</v>
      </c>
      <c r="D35" s="51">
        <v>9.5054260799776191</v>
      </c>
      <c r="E35" s="74">
        <v>13459.58298427581</v>
      </c>
      <c r="F35" s="54">
        <v>9.5054260799776191</v>
      </c>
      <c r="G35" s="79">
        <v>11422.635234786745</v>
      </c>
      <c r="H35" s="51">
        <v>10.31922567704564</v>
      </c>
      <c r="I35" s="79">
        <v>4619.0881433059494</v>
      </c>
      <c r="J35" s="51">
        <v>16.823704317837159</v>
      </c>
      <c r="K35" s="79" t="s">
        <v>114</v>
      </c>
      <c r="L35" s="51" t="s">
        <v>114</v>
      </c>
      <c r="M35" s="80">
        <v>343.70722339695135</v>
      </c>
      <c r="N35" s="52">
        <v>61.085424761916684</v>
      </c>
      <c r="O35" s="79">
        <v>2049.0471799623847</v>
      </c>
      <c r="P35" s="51">
        <v>25.077286916837259</v>
      </c>
      <c r="Q35" s="80">
        <v>1230.75447556832</v>
      </c>
      <c r="R35" s="52">
        <v>32.137038796871359</v>
      </c>
      <c r="S35" s="80">
        <v>1030.2023048487451</v>
      </c>
      <c r="T35" s="52">
        <v>35.275470789427047</v>
      </c>
      <c r="U35" s="80">
        <v>349.21047672648615</v>
      </c>
      <c r="V35" s="48">
        <v>64.925829540098889</v>
      </c>
    </row>
    <row r="36" spans="1:22" x14ac:dyDescent="0.2">
      <c r="A36" s="32" t="str">
        <f>VLOOKUP("&lt;Zeilentitel_7&gt;",Uebersetzungen!$B$3:$E$83,Uebersetzungen!$B$2+1,FALSE)</f>
        <v>Sozioprofessionelle Kategorien</v>
      </c>
      <c r="B36" s="43" t="str">
        <f>VLOOKUP("&lt;Zeilentitel_7.1&gt;",Uebersetzungen!$B$3:$E$83,Uebersetzungen!$B$2+1,FALSE)</f>
        <v>Oberstes Management</v>
      </c>
      <c r="C36" s="70">
        <v>2953.3948145954159</v>
      </c>
      <c r="D36" s="51">
        <v>20.757746539864385</v>
      </c>
      <c r="E36" s="74">
        <v>2953.3948145954159</v>
      </c>
      <c r="F36" s="54">
        <v>20.757746539864385</v>
      </c>
      <c r="G36" s="79">
        <v>2380.9578760212294</v>
      </c>
      <c r="H36" s="51">
        <v>23.020340595269392</v>
      </c>
      <c r="I36" s="80">
        <v>1170.1901507893285</v>
      </c>
      <c r="J36" s="52">
        <v>33.799164351126443</v>
      </c>
      <c r="K36" s="80">
        <v>168.19891873642382</v>
      </c>
      <c r="L36" s="52">
        <v>86.476388678280017</v>
      </c>
      <c r="M36" s="80">
        <v>176.20561021161268</v>
      </c>
      <c r="N36" s="52">
        <v>86.487957244049781</v>
      </c>
      <c r="O36" s="80">
        <v>748.88852893466901</v>
      </c>
      <c r="P36" s="52">
        <v>41.184700049752948</v>
      </c>
      <c r="Q36" s="80">
        <v>274.75907662158642</v>
      </c>
      <c r="R36" s="52">
        <v>68.31013064983749</v>
      </c>
      <c r="S36" s="80">
        <v>640.75098012966225</v>
      </c>
      <c r="T36" s="52">
        <v>44.319261024230336</v>
      </c>
      <c r="U36" s="80">
        <v>228.4207586812928</v>
      </c>
      <c r="V36" s="48">
        <v>79.900512164897208</v>
      </c>
    </row>
    <row r="37" spans="1:22" x14ac:dyDescent="0.2">
      <c r="A37" s="33"/>
      <c r="B37" s="45" t="str">
        <f>VLOOKUP("&lt;Zeilentitel_7.2&gt;",Uebersetzungen!$B$3:$E$83,Uebersetzungen!$B$2+1,FALSE)</f>
        <v>Freie und gleichgestellte Berufe</v>
      </c>
      <c r="C37" s="70">
        <v>2954.6168063002165</v>
      </c>
      <c r="D37" s="51">
        <v>20.718263642941835</v>
      </c>
      <c r="E37" s="74">
        <v>2954.6168063002165</v>
      </c>
      <c r="F37" s="54">
        <v>20.718263642941835</v>
      </c>
      <c r="G37" s="79">
        <v>2095.4668916767678</v>
      </c>
      <c r="H37" s="51">
        <v>24.449976505084717</v>
      </c>
      <c r="I37" s="80">
        <v>1183.3250227581293</v>
      </c>
      <c r="J37" s="52">
        <v>32.641542415930743</v>
      </c>
      <c r="K37" s="80">
        <v>202.25340123155885</v>
      </c>
      <c r="L37" s="52">
        <v>78.979315980316514</v>
      </c>
      <c r="M37" s="79" t="s">
        <v>114</v>
      </c>
      <c r="N37" s="51" t="s">
        <v>114</v>
      </c>
      <c r="O37" s="80">
        <v>562.54485158325258</v>
      </c>
      <c r="P37" s="52">
        <v>48.341026363419623</v>
      </c>
      <c r="Q37" s="80">
        <v>200.25491112242065</v>
      </c>
      <c r="R37" s="52">
        <v>78.858620294181833</v>
      </c>
      <c r="S37" s="80">
        <v>918.59382966304918</v>
      </c>
      <c r="T37" s="52">
        <v>37.922662751203049</v>
      </c>
      <c r="U37" s="79" t="s">
        <v>114</v>
      </c>
      <c r="V37" s="47" t="s">
        <v>114</v>
      </c>
    </row>
    <row r="38" spans="1:22" x14ac:dyDescent="0.2">
      <c r="A38" s="34"/>
      <c r="B38" s="45" t="str">
        <f>VLOOKUP("&lt;Zeilentitel_7.3&gt;",Uebersetzungen!$B$3:$E$83,Uebersetzungen!$B$2+1,FALSE)</f>
        <v>Andere Selbstständige</v>
      </c>
      <c r="C38" s="70">
        <v>12636.193618091322</v>
      </c>
      <c r="D38" s="51">
        <v>9.9706743754828704</v>
      </c>
      <c r="E38" s="74">
        <v>12636.193618091322</v>
      </c>
      <c r="F38" s="54">
        <v>9.9706743754828704</v>
      </c>
      <c r="G38" s="79">
        <v>10134.859283126954</v>
      </c>
      <c r="H38" s="51">
        <v>11.180132350866087</v>
      </c>
      <c r="I38" s="79">
        <v>2772.3713340733034</v>
      </c>
      <c r="J38" s="51">
        <v>21.982082068676135</v>
      </c>
      <c r="K38" s="80">
        <v>301.78197185227401</v>
      </c>
      <c r="L38" s="52">
        <v>68.562997792813434</v>
      </c>
      <c r="M38" s="80">
        <v>618.35308579263256</v>
      </c>
      <c r="N38" s="52">
        <v>46.955839585329898</v>
      </c>
      <c r="O38" s="79">
        <v>2434.2454582372497</v>
      </c>
      <c r="P38" s="51">
        <v>23.35571184631112</v>
      </c>
      <c r="Q38" s="79">
        <v>1915.5543704065337</v>
      </c>
      <c r="R38" s="51">
        <v>26.199170700470162</v>
      </c>
      <c r="S38" s="80">
        <v>1397.1187979663823</v>
      </c>
      <c r="T38" s="52">
        <v>31.419519358298235</v>
      </c>
      <c r="U38" s="80">
        <v>415.18017541409921</v>
      </c>
      <c r="V38" s="48">
        <v>58.648873021613028</v>
      </c>
    </row>
    <row r="39" spans="1:22" x14ac:dyDescent="0.2">
      <c r="A39" s="34"/>
      <c r="B39" s="45" t="str">
        <f>VLOOKUP("&lt;Zeilentitel_7.4&gt;",Uebersetzungen!$B$3:$E$83,Uebersetzungen!$B$2+1,FALSE)</f>
        <v>Akademische Berufe und oberes Kader</v>
      </c>
      <c r="C39" s="70">
        <v>14768.995519368731</v>
      </c>
      <c r="D39" s="51">
        <v>8.9235268938046044</v>
      </c>
      <c r="E39" s="74">
        <v>14768.995519368731</v>
      </c>
      <c r="F39" s="54">
        <v>8.9235268938046044</v>
      </c>
      <c r="G39" s="79">
        <v>11585.340988771422</v>
      </c>
      <c r="H39" s="51">
        <v>10.141232906835683</v>
      </c>
      <c r="I39" s="79">
        <v>7708.2331122844635</v>
      </c>
      <c r="J39" s="51">
        <v>12.609134367378005</v>
      </c>
      <c r="K39" s="80">
        <v>728.93974992853839</v>
      </c>
      <c r="L39" s="52">
        <v>41.390577499373997</v>
      </c>
      <c r="M39" s="80">
        <v>436.37096788002577</v>
      </c>
      <c r="N39" s="52">
        <v>53.550397942279176</v>
      </c>
      <c r="O39" s="79">
        <v>2864.417236461848</v>
      </c>
      <c r="P39" s="51">
        <v>20.984210972707373</v>
      </c>
      <c r="Q39" s="80">
        <v>1585.8348582314434</v>
      </c>
      <c r="R39" s="52">
        <v>28.083828491157778</v>
      </c>
      <c r="S39" s="79">
        <v>3397.561460718829</v>
      </c>
      <c r="T39" s="51">
        <v>19.499038582968616</v>
      </c>
      <c r="U39" s="80">
        <v>409.27896638916474</v>
      </c>
      <c r="V39" s="48">
        <v>56.414427611030305</v>
      </c>
    </row>
    <row r="40" spans="1:22" x14ac:dyDescent="0.2">
      <c r="A40" s="34"/>
      <c r="B40" s="45" t="str">
        <f>VLOOKUP("&lt;Zeilentitel_7.5&gt;",Uebersetzungen!$B$3:$E$83,Uebersetzungen!$B$2+1,FALSE)</f>
        <v>Intermediäre Berufe</v>
      </c>
      <c r="C40" s="70">
        <v>31790.919442611848</v>
      </c>
      <c r="D40" s="51">
        <v>5.8999378246301468</v>
      </c>
      <c r="E40" s="74">
        <v>31790.919442611848</v>
      </c>
      <c r="F40" s="54">
        <v>5.8999378246301468</v>
      </c>
      <c r="G40" s="79">
        <v>25393.650589547018</v>
      </c>
      <c r="H40" s="51">
        <v>6.7081779372690438</v>
      </c>
      <c r="I40" s="79">
        <v>12160.529053509894</v>
      </c>
      <c r="J40" s="51">
        <v>10.21954703658168</v>
      </c>
      <c r="K40" s="80">
        <v>1034.0891147423124</v>
      </c>
      <c r="L40" s="52">
        <v>35.891446218325122</v>
      </c>
      <c r="M40" s="80">
        <v>739.79613917789402</v>
      </c>
      <c r="N40" s="52">
        <v>42.201239516233734</v>
      </c>
      <c r="O40" s="79">
        <v>6333.6595579373052</v>
      </c>
      <c r="P40" s="51">
        <v>14.409538694588518</v>
      </c>
      <c r="Q40" s="79">
        <v>3109.5472543476631</v>
      </c>
      <c r="R40" s="51">
        <v>20.354923652970442</v>
      </c>
      <c r="S40" s="79">
        <v>5212.3636841505822</v>
      </c>
      <c r="T40" s="51">
        <v>16.020555522649758</v>
      </c>
      <c r="U40" s="80">
        <v>1895.7179204042177</v>
      </c>
      <c r="V40" s="48">
        <v>27.851910131398991</v>
      </c>
    </row>
    <row r="41" spans="1:22" x14ac:dyDescent="0.2">
      <c r="A41" s="34"/>
      <c r="B41" s="45" t="str">
        <f>VLOOKUP("&lt;Zeilentitel_7.6&gt;",Uebersetzungen!$B$3:$E$83,Uebersetzungen!$B$2+1,FALSE)</f>
        <v>Qualifizierte nichtmanuelle Berufe</v>
      </c>
      <c r="C41" s="70">
        <v>19687.931100661244</v>
      </c>
      <c r="D41" s="51">
        <v>7.8145678044516167</v>
      </c>
      <c r="E41" s="74">
        <v>19687.931100661244</v>
      </c>
      <c r="F41" s="54">
        <v>7.8145678044516167</v>
      </c>
      <c r="G41" s="79">
        <v>16801.140781377399</v>
      </c>
      <c r="H41" s="51">
        <v>8.4953116050655577</v>
      </c>
      <c r="I41" s="79">
        <v>6055.3787197431393</v>
      </c>
      <c r="J41" s="51">
        <v>14.790988128982988</v>
      </c>
      <c r="K41" s="80">
        <v>426.46980433490569</v>
      </c>
      <c r="L41" s="52">
        <v>55.919586159166244</v>
      </c>
      <c r="M41" s="80">
        <v>898.59780193306074</v>
      </c>
      <c r="N41" s="52">
        <v>38.641320371236795</v>
      </c>
      <c r="O41" s="79">
        <v>3751.7663622367922</v>
      </c>
      <c r="P41" s="51">
        <v>19.052499800537127</v>
      </c>
      <c r="Q41" s="79">
        <v>1744.3594814586506</v>
      </c>
      <c r="R41" s="51">
        <v>27.239894775852836</v>
      </c>
      <c r="S41" s="79">
        <v>2107.7120366968911</v>
      </c>
      <c r="T41" s="51">
        <v>25.625982606612258</v>
      </c>
      <c r="U41" s="80">
        <v>835.17951587661503</v>
      </c>
      <c r="V41" s="48">
        <v>43.421722791095817</v>
      </c>
    </row>
    <row r="42" spans="1:22" x14ac:dyDescent="0.2">
      <c r="A42" s="34"/>
      <c r="B42" s="45" t="str">
        <f>VLOOKUP("&lt;Zeilentitel_7.7&gt;",Uebersetzungen!$B$3:$E$83,Uebersetzungen!$B$2+1,FALSE)</f>
        <v>Qualifizierte manuelle Berufe</v>
      </c>
      <c r="C42" s="70">
        <v>9484.8792043123321</v>
      </c>
      <c r="D42" s="51">
        <v>11.864977699035611</v>
      </c>
      <c r="E42" s="74">
        <v>9484.8792043123321</v>
      </c>
      <c r="F42" s="54">
        <v>11.864977699035611</v>
      </c>
      <c r="G42" s="79">
        <v>7499.0723556783505</v>
      </c>
      <c r="H42" s="51">
        <v>13.324508389375689</v>
      </c>
      <c r="I42" s="79">
        <v>2579.6644943453089</v>
      </c>
      <c r="J42" s="51">
        <v>23.690143299159484</v>
      </c>
      <c r="K42" s="79" t="s">
        <v>114</v>
      </c>
      <c r="L42" s="51" t="s">
        <v>114</v>
      </c>
      <c r="M42" s="80">
        <v>466.74105871421511</v>
      </c>
      <c r="N42" s="52">
        <v>53.720898296188132</v>
      </c>
      <c r="O42" s="80">
        <v>1812.0913522556341</v>
      </c>
      <c r="P42" s="52">
        <v>28.189046552942816</v>
      </c>
      <c r="Q42" s="80">
        <v>1210.9030059622921</v>
      </c>
      <c r="R42" s="52">
        <v>33.112866498806504</v>
      </c>
      <c r="S42" s="80">
        <v>395.03216227040423</v>
      </c>
      <c r="T42" s="52">
        <v>61.222066952442724</v>
      </c>
      <c r="U42" s="80">
        <v>638.91507691548861</v>
      </c>
      <c r="V42" s="48">
        <v>48.484302869627726</v>
      </c>
    </row>
    <row r="43" spans="1:22" x14ac:dyDescent="0.2">
      <c r="A43" s="34"/>
      <c r="B43" s="45" t="str">
        <f>VLOOKUP("&lt;Zeilentitel_7.8&gt;",Uebersetzungen!$B$3:$E$83,Uebersetzungen!$B$2+1,FALSE)</f>
        <v>Ungelernte Angestellte und Arbeiter</v>
      </c>
      <c r="C43" s="70">
        <v>7868.3355356968314</v>
      </c>
      <c r="D43" s="51">
        <v>13.346655540716672</v>
      </c>
      <c r="E43" s="74">
        <v>7868.3355356968314</v>
      </c>
      <c r="F43" s="54">
        <v>13.346655540716672</v>
      </c>
      <c r="G43" s="79">
        <v>4429.5473166266474</v>
      </c>
      <c r="H43" s="51">
        <v>17.670175727569482</v>
      </c>
      <c r="I43" s="79">
        <v>2372.9564095632918</v>
      </c>
      <c r="J43" s="51">
        <v>24.50688827501617</v>
      </c>
      <c r="K43" s="79" t="s">
        <v>114</v>
      </c>
      <c r="L43" s="51" t="s">
        <v>114</v>
      </c>
      <c r="M43" s="80">
        <v>279.80626273093532</v>
      </c>
      <c r="N43" s="52">
        <v>73.839774819905827</v>
      </c>
      <c r="O43" s="79">
        <v>2477.1072476374916</v>
      </c>
      <c r="P43" s="51">
        <v>24.537588793896866</v>
      </c>
      <c r="Q43" s="80">
        <v>624.2039726654566</v>
      </c>
      <c r="R43" s="52">
        <v>46.858779039333001</v>
      </c>
      <c r="S43" s="80">
        <v>444.45206087936828</v>
      </c>
      <c r="T43" s="52">
        <v>58.685370335796463</v>
      </c>
      <c r="U43" s="80">
        <v>1825.3379431446212</v>
      </c>
      <c r="V43" s="48">
        <v>29.167334190020295</v>
      </c>
    </row>
    <row r="44" spans="1:22" ht="25.5" customHeight="1" x14ac:dyDescent="0.2">
      <c r="A44" s="34"/>
      <c r="B44" s="45" t="str">
        <f>VLOOKUP("&lt;Zeilentitel_7.9&gt;",Uebersetzungen!$B$3:$E$83,Uebersetzungen!$B$2+1,FALSE)</f>
        <v>Lernende in dualer beruflicher Grundbildung (Lehrlinge)</v>
      </c>
      <c r="C44" s="70">
        <v>3201.5321721395994</v>
      </c>
      <c r="D44" s="51">
        <v>20.317967540486357</v>
      </c>
      <c r="E44" s="74">
        <v>3201.5321721395994</v>
      </c>
      <c r="F44" s="54">
        <v>20.317967540486357</v>
      </c>
      <c r="G44" s="79">
        <v>2725.6601371310339</v>
      </c>
      <c r="H44" s="51">
        <v>21.977003201477039</v>
      </c>
      <c r="I44" s="80">
        <v>1164.247184793383</v>
      </c>
      <c r="J44" s="52">
        <v>34.38753387283078</v>
      </c>
      <c r="K44" s="79" t="s">
        <v>114</v>
      </c>
      <c r="L44" s="51" t="s">
        <v>114</v>
      </c>
      <c r="M44" s="79" t="s">
        <v>114</v>
      </c>
      <c r="N44" s="51" t="s">
        <v>114</v>
      </c>
      <c r="O44" s="80">
        <v>548.61832318074698</v>
      </c>
      <c r="P44" s="52">
        <v>48.38446325412189</v>
      </c>
      <c r="Q44" s="80">
        <v>508.2379352850063</v>
      </c>
      <c r="R44" s="52">
        <v>49.906904923480887</v>
      </c>
      <c r="S44" s="80">
        <v>482.48063858111436</v>
      </c>
      <c r="T44" s="52">
        <v>51.700279409354252</v>
      </c>
      <c r="U44" s="79" t="s">
        <v>114</v>
      </c>
      <c r="V44" s="47" t="s">
        <v>114</v>
      </c>
    </row>
    <row r="45" spans="1:22" ht="38.25" x14ac:dyDescent="0.2">
      <c r="A45" s="34"/>
      <c r="B45" s="45" t="str">
        <f>VLOOKUP("&lt;Zeilentitel_7.10&gt;",Uebersetzungen!$B$3:$E$83,Uebersetzungen!$B$2+1,FALSE)</f>
        <v>Nicht zuteilbare Erwerbstätige (fehlende oder unklare Basisdaten oder unplausible Kombination)</v>
      </c>
      <c r="C45" s="70">
        <v>2169.8068201438932</v>
      </c>
      <c r="D45" s="51">
        <v>25.542148859673862</v>
      </c>
      <c r="E45" s="74">
        <v>2169.8068201438932</v>
      </c>
      <c r="F45" s="54">
        <v>25.542148859673862</v>
      </c>
      <c r="G45" s="80">
        <v>1438.6818466823802</v>
      </c>
      <c r="H45" s="52">
        <v>30.551422381518208</v>
      </c>
      <c r="I45" s="80">
        <v>998.6943688283751</v>
      </c>
      <c r="J45" s="52">
        <v>38.159923343552478</v>
      </c>
      <c r="K45" s="79" t="s">
        <v>114</v>
      </c>
      <c r="L45" s="51" t="s">
        <v>114</v>
      </c>
      <c r="M45" s="79" t="s">
        <v>114</v>
      </c>
      <c r="N45" s="51" t="s">
        <v>114</v>
      </c>
      <c r="O45" s="80">
        <v>347.25985223263285</v>
      </c>
      <c r="P45" s="52">
        <v>61.132911034506094</v>
      </c>
      <c r="Q45" s="80">
        <v>198.56655243178616</v>
      </c>
      <c r="R45" s="52">
        <v>78.859857658872144</v>
      </c>
      <c r="S45" s="80">
        <v>330.88708824335106</v>
      </c>
      <c r="T45" s="52">
        <v>70.663549554091063</v>
      </c>
      <c r="U45" s="80">
        <v>232.67001905083362</v>
      </c>
      <c r="V45" s="48">
        <v>79.389745007479164</v>
      </c>
    </row>
    <row r="46" spans="1:22" x14ac:dyDescent="0.2">
      <c r="A46" s="34"/>
      <c r="B46" s="45" t="str">
        <f>VLOOKUP("&lt;Zeilentitel_7.11&gt;",Uebersetzungen!$B$3:$E$83,Uebersetzungen!$B$2+1,FALSE)</f>
        <v>Erwerbslose und Nichterwerbspersonen</v>
      </c>
      <c r="C46" s="70">
        <v>65470.394966079766</v>
      </c>
      <c r="D46" s="51">
        <v>3.4907975001965958</v>
      </c>
      <c r="E46" s="76" t="s">
        <v>114</v>
      </c>
      <c r="F46" s="56" t="s">
        <v>114</v>
      </c>
      <c r="G46" s="81" t="s">
        <v>114</v>
      </c>
      <c r="H46" s="58" t="s">
        <v>114</v>
      </c>
      <c r="I46" s="81" t="s">
        <v>114</v>
      </c>
      <c r="J46" s="58" t="s">
        <v>114</v>
      </c>
      <c r="K46" s="81" t="s">
        <v>114</v>
      </c>
      <c r="L46" s="58" t="s">
        <v>114</v>
      </c>
      <c r="M46" s="81" t="s">
        <v>114</v>
      </c>
      <c r="N46" s="58" t="s">
        <v>114</v>
      </c>
      <c r="O46" s="81" t="s">
        <v>114</v>
      </c>
      <c r="P46" s="58" t="s">
        <v>114</v>
      </c>
      <c r="Q46" s="81" t="s">
        <v>114</v>
      </c>
      <c r="R46" s="58" t="s">
        <v>114</v>
      </c>
      <c r="S46" s="81" t="s">
        <v>114</v>
      </c>
      <c r="T46" s="58" t="s">
        <v>114</v>
      </c>
      <c r="U46" s="81" t="s">
        <v>114</v>
      </c>
      <c r="V46" s="49" t="s">
        <v>114</v>
      </c>
    </row>
    <row r="47" spans="1:22" ht="12.75" customHeight="1" x14ac:dyDescent="0.2">
      <c r="A47" s="30" t="str">
        <f>VLOOKUP("&lt;Zeilentitel_8&gt;",Uebersetzungen!$B$3:$E$83,Uebersetzungen!$B$2+1,FALSE)</f>
        <v>Höchste abgeschlossene Ausbildung</v>
      </c>
      <c r="B47" s="43" t="str">
        <f>VLOOKUP("&lt;Zeilentitel_8.1&gt;",Uebersetzungen!$B$3:$E$83,Uebersetzungen!$B$2+1,FALSE)</f>
        <v>Ohne nachobligatorische Aubildung</v>
      </c>
      <c r="C47" s="70">
        <v>35257.105825795763</v>
      </c>
      <c r="D47" s="51">
        <v>5.5602700259148854</v>
      </c>
      <c r="E47" s="74">
        <v>15230.925944552968</v>
      </c>
      <c r="F47" s="54">
        <v>9.2590930794259183</v>
      </c>
      <c r="G47" s="79">
        <v>9168.1269083505358</v>
      </c>
      <c r="H47" s="51">
        <v>11.924127304891476</v>
      </c>
      <c r="I47" s="79">
        <v>4889.1072178987615</v>
      </c>
      <c r="J47" s="51">
        <v>16.840603605747283</v>
      </c>
      <c r="K47" s="80">
        <v>334.62049321189244</v>
      </c>
      <c r="L47" s="52">
        <v>64.602565316987011</v>
      </c>
      <c r="M47" s="80">
        <v>532.21006288352714</v>
      </c>
      <c r="N47" s="52">
        <v>52.093929120843406</v>
      </c>
      <c r="O47" s="79">
        <v>4461.1514673212159</v>
      </c>
      <c r="P47" s="51">
        <v>17.856105094816964</v>
      </c>
      <c r="Q47" s="80">
        <v>1412.01686814082</v>
      </c>
      <c r="R47" s="52">
        <v>30.510498174082937</v>
      </c>
      <c r="S47" s="80">
        <v>1119.7825941896492</v>
      </c>
      <c r="T47" s="52">
        <v>35.498519295316214</v>
      </c>
      <c r="U47" s="79">
        <v>2896.298576064657</v>
      </c>
      <c r="V47" s="47">
        <v>22.761444660283836</v>
      </c>
    </row>
    <row r="48" spans="1:22" x14ac:dyDescent="0.2">
      <c r="A48" s="34"/>
      <c r="B48" s="45" t="str">
        <f>VLOOKUP("&lt;Zeilentitel_8.2&gt;",Uebersetzungen!$B$3:$E$83,Uebersetzungen!$B$2+1,FALSE)</f>
        <v>Sekundarstufe II</v>
      </c>
      <c r="C48" s="70">
        <v>79770.079363931363</v>
      </c>
      <c r="D48" s="51">
        <v>3.0314707120835456</v>
      </c>
      <c r="E48" s="74">
        <v>49002.285142121618</v>
      </c>
      <c r="F48" s="54">
        <v>4.506693847596889</v>
      </c>
      <c r="G48" s="79">
        <v>41030.766067353936</v>
      </c>
      <c r="H48" s="51">
        <v>5.0431696897394316</v>
      </c>
      <c r="I48" s="79">
        <v>15289.994496069659</v>
      </c>
      <c r="J48" s="51">
        <v>9.167674870268586</v>
      </c>
      <c r="K48" s="80">
        <v>973.79242879967649</v>
      </c>
      <c r="L48" s="52">
        <v>37.259675936165976</v>
      </c>
      <c r="M48" s="79">
        <v>2003.5374644875624</v>
      </c>
      <c r="N48" s="51">
        <v>25.741183661372339</v>
      </c>
      <c r="O48" s="79">
        <v>9782.968084112641</v>
      </c>
      <c r="P48" s="51">
        <v>11.551957243162402</v>
      </c>
      <c r="Q48" s="79">
        <v>5217.8977228148478</v>
      </c>
      <c r="R48" s="51">
        <v>15.676479225775347</v>
      </c>
      <c r="S48" s="79">
        <v>5251.1602059974584</v>
      </c>
      <c r="T48" s="51">
        <v>16.265680289398443</v>
      </c>
      <c r="U48" s="79">
        <v>2203.1900648295468</v>
      </c>
      <c r="V48" s="47">
        <v>26.162876951829908</v>
      </c>
    </row>
    <row r="49" spans="1:22" ht="13.5" thickBot="1" x14ac:dyDescent="0.25">
      <c r="A49" s="35"/>
      <c r="B49" s="46" t="str">
        <f>VLOOKUP("&lt;Zeilentitel_8.3&gt;",Uebersetzungen!$B$3:$E$83,Uebersetzungen!$B$2+1,FALSE)</f>
        <v>Tertiärstufe</v>
      </c>
      <c r="C49" s="72">
        <v>57959.814810274111</v>
      </c>
      <c r="D49" s="53">
        <v>3.8600787798579197</v>
      </c>
      <c r="E49" s="77">
        <v>43283.393947246914</v>
      </c>
      <c r="F49" s="57">
        <v>4.7677292396921072</v>
      </c>
      <c r="G49" s="82">
        <v>34285.485090934766</v>
      </c>
      <c r="H49" s="53">
        <v>5.5130300116881292</v>
      </c>
      <c r="I49" s="82">
        <v>17986.488136720171</v>
      </c>
      <c r="J49" s="53">
        <v>8.0673274051950177</v>
      </c>
      <c r="K49" s="82">
        <v>1809.4791579052956</v>
      </c>
      <c r="L49" s="53">
        <v>26.519530555542818</v>
      </c>
      <c r="M49" s="83">
        <v>1352.6738666711738</v>
      </c>
      <c r="N49" s="59">
        <v>30.900612830501114</v>
      </c>
      <c r="O49" s="82">
        <v>7636.4792192637669</v>
      </c>
      <c r="P49" s="53">
        <v>12.827394182611528</v>
      </c>
      <c r="Q49" s="82">
        <v>4742.3068275771711</v>
      </c>
      <c r="R49" s="53">
        <v>16.25253272148441</v>
      </c>
      <c r="S49" s="82">
        <v>8956.0099391125295</v>
      </c>
      <c r="T49" s="53">
        <v>11.876466904273618</v>
      </c>
      <c r="U49" s="83">
        <v>1674.8406621236925</v>
      </c>
      <c r="V49" s="50">
        <v>29.134928200124129</v>
      </c>
    </row>
    <row r="50" spans="1:22" x14ac:dyDescent="0.2">
      <c r="A50" s="25"/>
      <c r="B50" s="18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6"/>
      <c r="T50" s="27"/>
      <c r="U50" s="28"/>
      <c r="V50" s="27"/>
    </row>
    <row r="51" spans="1:22" x14ac:dyDescent="0.2">
      <c r="A51" s="13" t="str">
        <f>VLOOKUP("&lt;Legende_1&gt;",Uebersetzungen!$B$3:$E$72,Uebersetzungen!$B$2+1,FALSE)</f>
        <v>Die Befragten konnten mehrere Hauptsprachen nennen.</v>
      </c>
    </row>
    <row r="52" spans="1:22" x14ac:dyDescent="0.2">
      <c r="A52" s="13" t="str">
        <f>VLOOKUP("&lt;Legende_2&gt;",Uebersetzungen!$B$3:$E$72,Uebersetzungen!$B$2+1,FALSE)</f>
        <v>(): Extrapolation aufgrund von 49 oder weniger Beobachtungen. Die Resultate sind mit grosser Vorsicht zu interpretieren.</v>
      </c>
    </row>
    <row r="53" spans="1:22" x14ac:dyDescent="0.2">
      <c r="A53" s="13" t="str">
        <f>VLOOKUP("&lt;Legende_3&gt;",Uebersetzungen!$B$3:$E$72,Uebersetzungen!$B$2+1,FALSE)</f>
        <v>X: Extrapolation aufgrund von 4 oder weniger Beobachtungen. Die Resultate werden aus Gründen des Datenschutzes nicht publiziert.</v>
      </c>
    </row>
    <row r="54" spans="1:22" x14ac:dyDescent="0.2">
      <c r="A54" s="13" t="str">
        <f>VLOOKUP("&lt;Legende_4&gt;",Uebersetzungen!$B$3:$E$72,Uebersetzungen!$B$2+1,FALSE)</f>
        <v>Die Grundgesamtheit der Strukturerhebung enthält alle Personen der ständigen Wohnbevölkerung ab vollendetem 15. Altersjahr, die in Privathaushalten leben.</v>
      </c>
    </row>
    <row r="55" spans="1:22" x14ac:dyDescent="0.2">
      <c r="A55" s="41" t="str">
        <f>VLOOKUP("&lt;Legende_5&gt;",Uebersetzungen!$B$3:$E$72,Uebersetzungen!$B$2+1,FALSE)</f>
        <v>Aus der Grundgesamtheit ausgeschlossen wurden neben den Personen, die in Kollektivhaushalten leben, auch Diplomaten, internationale Funktionäre und deren Angehörige.</v>
      </c>
    </row>
    <row r="56" spans="1:22" x14ac:dyDescent="0.2">
      <c r="A56" s="7"/>
    </row>
    <row r="57" spans="1:22" x14ac:dyDescent="0.2">
      <c r="A57" s="7" t="str">
        <f>VLOOKUP("&lt;Quelle_1&gt;",Uebersetzungen!$B$3:$E$83,Uebersetzungen!$B$2+1,FALSE)</f>
        <v>Quelle: BFS (Strukturerhebung)</v>
      </c>
    </row>
    <row r="58" spans="1:22" x14ac:dyDescent="0.2">
      <c r="A58" s="6" t="str">
        <f>VLOOKUP("&lt;Aktualisierung&gt;",Uebersetzungen!$B$3:$E$83,Uebersetzungen!$B$2+1,FALSE)</f>
        <v>Letztmals aktualisiert am: 18.03.2024</v>
      </c>
    </row>
    <row r="59" spans="1:22" x14ac:dyDescent="0.2">
      <c r="B59" s="9"/>
      <c r="T59" s="9"/>
    </row>
    <row r="61" spans="1:22" x14ac:dyDescent="0.2">
      <c r="B61" s="10"/>
      <c r="T61" s="10"/>
    </row>
    <row r="62" spans="1:22" x14ac:dyDescent="0.2">
      <c r="T62" s="9"/>
      <c r="U62" s="9"/>
      <c r="V62" s="9"/>
    </row>
  </sheetData>
  <sheetProtection sheet="1" objects="1" scenarios="1"/>
  <mergeCells count="13">
    <mergeCell ref="A7:D7"/>
    <mergeCell ref="B13:B14"/>
    <mergeCell ref="C13:D13"/>
    <mergeCell ref="S13:T13"/>
    <mergeCell ref="U13:V13"/>
    <mergeCell ref="C12:V12"/>
    <mergeCell ref="E13:F13"/>
    <mergeCell ref="G13:H13"/>
    <mergeCell ref="I13:J13"/>
    <mergeCell ref="K13:L13"/>
    <mergeCell ref="M13:N13"/>
    <mergeCell ref="O13:P13"/>
    <mergeCell ref="Q13:R13"/>
  </mergeCells>
  <pageMargins left="0.7" right="0.7" top="0.78740157499999996" bottom="0.78740157499999996" header="0.3" footer="0.3"/>
  <pageSetup paperSize="9" scale="28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123825</xdr:rowOff>
                  </from>
                  <to>
                    <xdr:col>4</xdr:col>
                    <xdr:colOff>609600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2</xdr:row>
                    <xdr:rowOff>114300</xdr:rowOff>
                  </from>
                  <to>
                    <xdr:col>5</xdr:col>
                    <xdr:colOff>276225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76200</xdr:rowOff>
                  </from>
                  <to>
                    <xdr:col>4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showGridLines="0" zoomScaleNormal="100" workbookViewId="0"/>
  </sheetViews>
  <sheetFormatPr baseColWidth="10" defaultRowHeight="12.75" x14ac:dyDescent="0.2"/>
  <cols>
    <col min="1" max="1" width="29.75" style="6" customWidth="1"/>
    <col min="2" max="2" width="33.25" style="6" customWidth="1"/>
    <col min="3" max="22" width="9.5" style="6" customWidth="1"/>
    <col min="23" max="16384" width="11" style="6"/>
  </cols>
  <sheetData>
    <row r="1" spans="1:23" s="1" customFormat="1" x14ac:dyDescent="0.2"/>
    <row r="2" spans="1:23" s="1" customFormat="1" ht="15.75" x14ac:dyDescent="0.25"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3" s="1" customFormat="1" ht="15.75" x14ac:dyDescent="0.25"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3" s="1" customFormat="1" ht="15.75" x14ac:dyDescent="0.25"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3" s="1" customFormat="1" x14ac:dyDescent="0.2"/>
    <row r="6" spans="1:23" s="1" customFormat="1" x14ac:dyDescent="0.2"/>
    <row r="7" spans="1:23" s="1" customFormat="1" ht="15.75" customHeight="1" x14ac:dyDescent="0.2">
      <c r="A7" s="93" t="str">
        <f>VLOOKUP("&lt;Fachbereich&gt;",Uebersetzungen!$B$3:$E$63,Uebersetzungen!$B$2+1,FALSE)</f>
        <v>Daten &amp; Statistik</v>
      </c>
      <c r="B7" s="93"/>
      <c r="C7" s="93"/>
      <c r="D7" s="9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2"/>
      <c r="T7" s="12"/>
      <c r="U7" s="12"/>
      <c r="V7" s="12"/>
      <c r="W7" s="12"/>
    </row>
    <row r="8" spans="1:23" s="1" customFormat="1" x14ac:dyDescent="0.2"/>
    <row r="9" spans="1:23" ht="18" x14ac:dyDescent="0.2">
      <c r="A9" s="3" t="str">
        <f>VLOOKUP("&lt;T2Titel&gt;",Uebersetzungen!$B$3:$E$86,Uebersetzungen!$B$2+1,FALSE)</f>
        <v>In der Ausbildung gesprochene Sprachen, Kanton Graubünden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x14ac:dyDescent="0.2">
      <c r="A10" s="7" t="str">
        <f>VLOOKUP("&lt;T2UTitel&gt;",Uebersetzungen!$B$3:$E$86,Uebersetzungen!$B$2+1,FALSE)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3" ht="18" x14ac:dyDescent="0.25">
      <c r="A12" s="8"/>
      <c r="B12" s="8"/>
      <c r="C12" s="99">
        <v>2022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</row>
    <row r="13" spans="1:23" ht="37.5" customHeight="1" x14ac:dyDescent="0.2">
      <c r="B13" s="94"/>
      <c r="C13" s="96" t="str">
        <f>VLOOKUP("&lt;SpaltenTitel_1&gt;",Uebersetzungen!$B$3:$E$63,Uebersetzungen!$B$2+1,FALSE)</f>
        <v>Total Bevölkerung</v>
      </c>
      <c r="D13" s="97"/>
      <c r="E13" s="97" t="str">
        <f>VLOOKUP("&lt;T2SpaltenTitel_2&gt;",Uebersetzungen!$B$3:$E$163,Uebersetzungen!$B$2+1,FALSE)</f>
        <v>Personen in Ausbildung</v>
      </c>
      <c r="F13" s="97"/>
      <c r="G13" s="97" t="str">
        <f>VLOOKUP("&lt;SpaltenTitel_3&gt;",Uebersetzungen!$B$3:$E$63,Uebersetzungen!$B$2+1,FALSE)</f>
        <v>Schweizerdeutsch</v>
      </c>
      <c r="H13" s="97"/>
      <c r="I13" s="97" t="str">
        <f>VLOOKUP("&lt;SpaltenTitel_4&gt;",Uebersetzungen!$B$3:$E$63,Uebersetzungen!$B$2+1,FALSE)</f>
        <v>Deutsch</v>
      </c>
      <c r="J13" s="97"/>
      <c r="K13" s="97" t="str">
        <f>VLOOKUP("&lt;SpaltenTitel_5&gt;",Uebersetzungen!$B$3:$E$63,Uebersetzungen!$B$2+1,FALSE)</f>
        <v>Französisch</v>
      </c>
      <c r="L13" s="97"/>
      <c r="M13" s="102" t="str">
        <f>VLOOKUP("&lt;SpaltenTitel_6&gt;",Uebersetzungen!$B$3:$E$63,Uebersetzungen!$B$2+1,FALSE)</f>
        <v>Tessiner/Bündner-italienischer Dialekt</v>
      </c>
      <c r="N13" s="103"/>
      <c r="O13" s="102" t="str">
        <f>VLOOKUP("&lt;SpaltenTitel_7&gt;",Uebersetzungen!$B$3:$E$63,Uebersetzungen!$B$2+1,FALSE)</f>
        <v>Italienisch</v>
      </c>
      <c r="P13" s="103"/>
      <c r="Q13" s="102" t="str">
        <f>VLOOKUP("&lt;SpaltenTitel_8&gt;",Uebersetzungen!$B$3:$E$63,Uebersetzungen!$B$2+1,FALSE)</f>
        <v>Rätoromanisch</v>
      </c>
      <c r="R13" s="103"/>
      <c r="S13" s="97" t="str">
        <f>VLOOKUP("&lt;SpaltenTitel_9&gt;",Uebersetzungen!$B$3:$E$63,Uebersetzungen!$B$2+1,FALSE)</f>
        <v>Englisch</v>
      </c>
      <c r="T13" s="97"/>
      <c r="U13" s="97" t="str">
        <f>VLOOKUP("&lt;SpaltenTitel_10&gt;",Uebersetzungen!$B$3:$E$63,Uebersetzungen!$B$2+1,FALSE)</f>
        <v>Andere Sprache/n</v>
      </c>
      <c r="V13" s="98"/>
    </row>
    <row r="14" spans="1:23" ht="39" thickBot="1" x14ac:dyDescent="0.25">
      <c r="B14" s="95"/>
      <c r="C14" s="63" t="str">
        <f>VLOOKUP("&lt;SpaltenTitel_1.1&gt;",Uebersetzungen!$B$3:$E$63,Uebersetzungen!$B$2+1,FALSE)</f>
        <v>Anzahl Personen</v>
      </c>
      <c r="D14" s="64" t="str">
        <f>VLOOKUP("&lt;SpaltenTitel_1.2&gt;",Uebersetzungen!$B$3:$E$63,Uebersetzungen!$B$2+1,FALSE)</f>
        <v>Vertrauens- intervall: 
± (in %)</v>
      </c>
      <c r="E14" s="65" t="str">
        <f>VLOOKUP("&lt;SpaltenTitel_1.1&gt;",Uebersetzungen!$B$3:$E$63,Uebersetzungen!$B$2+1,FALSE)</f>
        <v>Anzahl Personen</v>
      </c>
      <c r="F14" s="64" t="str">
        <f>VLOOKUP("&lt;SpaltenTitel_1.2&gt;",Uebersetzungen!$B$3:$E$63,Uebersetzungen!$B$2+1,FALSE)</f>
        <v>Vertrauens- intervall: 
± (in %)</v>
      </c>
      <c r="G14" s="65" t="str">
        <f>VLOOKUP("&lt;SpaltenTitel_1.1&gt;",Uebersetzungen!$B$3:$E$63,Uebersetzungen!$B$2+1,FALSE)</f>
        <v>Anzahl Personen</v>
      </c>
      <c r="H14" s="64" t="str">
        <f>VLOOKUP("&lt;SpaltenTitel_1.2&gt;",Uebersetzungen!$B$3:$E$63,Uebersetzungen!$B$2+1,FALSE)</f>
        <v>Vertrauens- intervall: 
± (in %)</v>
      </c>
      <c r="I14" s="67" t="str">
        <f>VLOOKUP("&lt;SpaltenTitel_1.1&gt;",Uebersetzungen!$B$3:$E$63,Uebersetzungen!$B$2+1,FALSE)</f>
        <v>Anzahl Personen</v>
      </c>
      <c r="J14" s="85" t="str">
        <f>VLOOKUP("&lt;SpaltenTitel_1.2&gt;",Uebersetzungen!$B$3:$E$63,Uebersetzungen!$B$2+1,FALSE)</f>
        <v>Vertrauens- intervall: 
± (in %)</v>
      </c>
      <c r="K14" s="65" t="str">
        <f>VLOOKUP("&lt;SpaltenTitel_1.1&gt;",Uebersetzungen!$B$3:$E$63,Uebersetzungen!$B$2+1,FALSE)</f>
        <v>Anzahl Personen</v>
      </c>
      <c r="L14" s="64" t="str">
        <f>VLOOKUP("&lt;SpaltenTitel_1.2&gt;",Uebersetzungen!$B$3:$E$63,Uebersetzungen!$B$2+1,FALSE)</f>
        <v>Vertrauens- intervall: 
± (in %)</v>
      </c>
      <c r="M14" s="65" t="str">
        <f>VLOOKUP("&lt;SpaltenTitel_1.1&gt;",Uebersetzungen!$B$3:$E$63,Uebersetzungen!$B$2+1,FALSE)</f>
        <v>Anzahl Personen</v>
      </c>
      <c r="N14" s="64" t="str">
        <f>VLOOKUP("&lt;SpaltenTitel_1.2&gt;",Uebersetzungen!$B$3:$E$63,Uebersetzungen!$B$2+1,FALSE)</f>
        <v>Vertrauens- intervall: 
± (in %)</v>
      </c>
      <c r="O14" s="65" t="str">
        <f>VLOOKUP("&lt;SpaltenTitel_1.1&gt;",Uebersetzungen!$B$3:$E$63,Uebersetzungen!$B$2+1,FALSE)</f>
        <v>Anzahl Personen</v>
      </c>
      <c r="P14" s="64" t="str">
        <f>VLOOKUP("&lt;SpaltenTitel_1.2&gt;",Uebersetzungen!$B$3:$E$63,Uebersetzungen!$B$2+1,FALSE)</f>
        <v>Vertrauens- intervall: 
± (in %)</v>
      </c>
      <c r="Q14" s="65" t="str">
        <f>VLOOKUP("&lt;SpaltenTitel_1.1&gt;",Uebersetzungen!$B$3:$E$63,Uebersetzungen!$B$2+1,FALSE)</f>
        <v>Anzahl Personen</v>
      </c>
      <c r="R14" s="64" t="str">
        <f>VLOOKUP("&lt;SpaltenTitel_1.2&gt;",Uebersetzungen!$B$3:$E$63,Uebersetzungen!$B$2+1,FALSE)</f>
        <v>Vertrauens- intervall: 
± (in %)</v>
      </c>
      <c r="S14" s="66" t="str">
        <f>VLOOKUP("&lt;SpaltenTitel_1.1&gt;",Uebersetzungen!$B$3:$E$63,Uebersetzungen!$B$2+1,FALSE)</f>
        <v>Anzahl Personen</v>
      </c>
      <c r="T14" s="64" t="str">
        <f>VLOOKUP("&lt;SpaltenTitel_1.2&gt;",Uebersetzungen!$B$3:$E$63,Uebersetzungen!$B$2+1,FALSE)</f>
        <v>Vertrauens- intervall: 
± (in %)</v>
      </c>
      <c r="U14" s="84" t="str">
        <f>VLOOKUP("&lt;SpaltenTitel_1.1&gt;",Uebersetzungen!$B$3:$E$63,Uebersetzungen!$B$2+1,FALSE)</f>
        <v>Anzahl Personen</v>
      </c>
      <c r="V14" s="68" t="str">
        <f>VLOOKUP("&lt;SpaltenTitel_1.2&gt;",Uebersetzungen!$B$3:$E$63,Uebersetzungen!$B$2+1,FALSE)</f>
        <v>Vertrauens- intervall: 
± (in %)</v>
      </c>
    </row>
    <row r="15" spans="1:23" ht="14.25" customHeight="1" x14ac:dyDescent="0.2">
      <c r="A15" s="29" t="str">
        <f>VLOOKUP("&lt;Zeilentitel_1&gt;",Uebersetzungen!$B$3:$E$83,Uebersetzungen!$B$2+1,FALSE)</f>
        <v>Total</v>
      </c>
      <c r="B15" s="42"/>
      <c r="C15" s="69">
        <v>172987.00000000114</v>
      </c>
      <c r="D15" s="86">
        <v>0.30992133630712848</v>
      </c>
      <c r="E15" s="73">
        <v>16802.419551416358</v>
      </c>
      <c r="F15" s="87">
        <v>8.5921678096662006</v>
      </c>
      <c r="G15" s="78">
        <v>13831.336908504378</v>
      </c>
      <c r="H15" s="86">
        <v>9.5344600605993879</v>
      </c>
      <c r="I15" s="88">
        <v>8227.1912703793605</v>
      </c>
      <c r="J15" s="86">
        <v>12.632652783957544</v>
      </c>
      <c r="K15" s="89">
        <v>702.80534577937692</v>
      </c>
      <c r="L15" s="90">
        <v>44.470895061981395</v>
      </c>
      <c r="M15" s="89">
        <v>487.07692666909338</v>
      </c>
      <c r="N15" s="90">
        <v>51.730882710064037</v>
      </c>
      <c r="O15" s="78">
        <v>2834.3708081788027</v>
      </c>
      <c r="P15" s="86">
        <v>21.894263995302921</v>
      </c>
      <c r="Q15" s="78">
        <v>1740.5001960810837</v>
      </c>
      <c r="R15" s="60">
        <v>27.260134203778275</v>
      </c>
      <c r="S15" s="78">
        <v>3428.2310802712755</v>
      </c>
      <c r="T15" s="60">
        <v>19.885112151090283</v>
      </c>
      <c r="U15" s="89">
        <v>472.219005375476</v>
      </c>
      <c r="V15" s="91">
        <v>56.236500159543212</v>
      </c>
    </row>
    <row r="16" spans="1:23" x14ac:dyDescent="0.2">
      <c r="A16" s="30" t="str">
        <f>VLOOKUP("&lt;Zeilentitel_2&gt;",Uebersetzungen!$B$3:$E$83,Uebersetzungen!$B$2+1,FALSE)</f>
        <v>Geschlecht</v>
      </c>
      <c r="B16" s="43" t="str">
        <f>VLOOKUP("&lt;Zeilentitel_2.1&gt;",Uebersetzungen!$B$3:$E$83,Uebersetzungen!$B$2+1,FALSE)</f>
        <v>Männer</v>
      </c>
      <c r="C16" s="70">
        <v>86763.000000001208</v>
      </c>
      <c r="D16" s="51">
        <v>2.8238600372240734</v>
      </c>
      <c r="E16" s="74">
        <v>8332.0269923221422</v>
      </c>
      <c r="F16" s="54">
        <v>12.637900225279095</v>
      </c>
      <c r="G16" s="79">
        <v>6704.7917626221515</v>
      </c>
      <c r="H16" s="51">
        <v>14.090277440239683</v>
      </c>
      <c r="I16" s="79">
        <v>3373.7505878860002</v>
      </c>
      <c r="J16" s="51">
        <v>20.271557230927957</v>
      </c>
      <c r="K16" s="80">
        <v>273.42022409335095</v>
      </c>
      <c r="L16" s="52">
        <v>73.548979426922315</v>
      </c>
      <c r="M16" s="80">
        <v>242.40711245923885</v>
      </c>
      <c r="N16" s="52">
        <v>73.425597289458949</v>
      </c>
      <c r="O16" s="80">
        <v>1556.0763344854204</v>
      </c>
      <c r="P16" s="52">
        <v>30.020549853101272</v>
      </c>
      <c r="Q16" s="80">
        <v>810.49714403201438</v>
      </c>
      <c r="R16" s="52">
        <v>40.367059061167843</v>
      </c>
      <c r="S16" s="80">
        <v>1725.0630071599321</v>
      </c>
      <c r="T16" s="52">
        <v>28.618461693694975</v>
      </c>
      <c r="U16" s="80">
        <v>199.72819218216722</v>
      </c>
      <c r="V16" s="48">
        <v>87.340781266139544</v>
      </c>
    </row>
    <row r="17" spans="1:22" x14ac:dyDescent="0.2">
      <c r="A17" s="31"/>
      <c r="B17" s="44" t="str">
        <f>VLOOKUP("&lt;Zeilentitel_2.2&gt;",Uebersetzungen!$B$3:$E$83,Uebersetzungen!$B$2+1,FALSE)</f>
        <v>Frauen</v>
      </c>
      <c r="C17" s="70">
        <v>86223.999999999927</v>
      </c>
      <c r="D17" s="51">
        <v>2.7581960888754864</v>
      </c>
      <c r="E17" s="74">
        <v>8470.3925590942144</v>
      </c>
      <c r="F17" s="54">
        <v>12.284463995527441</v>
      </c>
      <c r="G17" s="79">
        <v>7126.5451458822254</v>
      </c>
      <c r="H17" s="51">
        <v>13.453288477594016</v>
      </c>
      <c r="I17" s="79">
        <v>4853.4406824933603</v>
      </c>
      <c r="J17" s="51">
        <v>16.448661375965681</v>
      </c>
      <c r="K17" s="80">
        <v>429.38512168602591</v>
      </c>
      <c r="L17" s="52">
        <v>55.807341279670716</v>
      </c>
      <c r="M17" s="80">
        <v>244.66981420985456</v>
      </c>
      <c r="N17" s="52">
        <v>72.997055409858959</v>
      </c>
      <c r="O17" s="80">
        <v>1278.2944736933821</v>
      </c>
      <c r="P17" s="52">
        <v>32.245412640355575</v>
      </c>
      <c r="Q17" s="80">
        <v>930.00305204906931</v>
      </c>
      <c r="R17" s="52">
        <v>37.126692643330585</v>
      </c>
      <c r="S17" s="80">
        <v>1703.1680731113436</v>
      </c>
      <c r="T17" s="52">
        <v>27.879301363612218</v>
      </c>
      <c r="U17" s="80">
        <v>272.49081319330878</v>
      </c>
      <c r="V17" s="48">
        <v>73.556230587449818</v>
      </c>
    </row>
    <row r="18" spans="1:22" x14ac:dyDescent="0.2">
      <c r="A18" s="32" t="str">
        <f>VLOOKUP("&lt;Zeilentitel_3&gt;",Uebersetzungen!$B$3:$E$83,Uebersetzungen!$B$2+1,FALSE)</f>
        <v>Alter</v>
      </c>
      <c r="B18" s="25" t="str">
        <f>VLOOKUP("&lt;Zeilentitel_3.1&gt;",Uebersetzungen!$B$3:$E$83,Uebersetzungen!$B$2+1,FALSE)</f>
        <v>15-24</v>
      </c>
      <c r="C18" s="70">
        <v>18891.000000000175</v>
      </c>
      <c r="D18" s="51">
        <v>8.1326481053992357</v>
      </c>
      <c r="E18" s="74">
        <v>12085.363261614826</v>
      </c>
      <c r="F18" s="54">
        <v>10.180766278556087</v>
      </c>
      <c r="G18" s="79">
        <v>10071.074341807542</v>
      </c>
      <c r="H18" s="51">
        <v>11.231103484355099</v>
      </c>
      <c r="I18" s="79">
        <v>6083.9584563815579</v>
      </c>
      <c r="J18" s="51">
        <v>14.623091899690596</v>
      </c>
      <c r="K18" s="80">
        <v>426.67009338657823</v>
      </c>
      <c r="L18" s="52">
        <v>55.834016119192995</v>
      </c>
      <c r="M18" s="80">
        <v>383.11431646363997</v>
      </c>
      <c r="N18" s="52">
        <v>58.416310475186876</v>
      </c>
      <c r="O18" s="79">
        <v>1914.9887387047302</v>
      </c>
      <c r="P18" s="51">
        <v>26.370273560264476</v>
      </c>
      <c r="Q18" s="80">
        <v>1382.8623203677707</v>
      </c>
      <c r="R18" s="52">
        <v>30.50827544945475</v>
      </c>
      <c r="S18" s="79">
        <v>2495.3526827632541</v>
      </c>
      <c r="T18" s="51">
        <v>23.059251042473083</v>
      </c>
      <c r="U18" s="80">
        <v>387.5475858146358</v>
      </c>
      <c r="V18" s="48">
        <v>61.567440618874706</v>
      </c>
    </row>
    <row r="19" spans="1:22" x14ac:dyDescent="0.2">
      <c r="A19" s="33"/>
      <c r="B19" s="45" t="str">
        <f>VLOOKUP("&lt;Zeilentitel_3.2&gt;",Uebersetzungen!$B$3:$E$83,Uebersetzungen!$B$2+1,FALSE)</f>
        <v>25-44</v>
      </c>
      <c r="C19" s="70">
        <v>50864.000000000393</v>
      </c>
      <c r="D19" s="51">
        <v>4.4311277725070441</v>
      </c>
      <c r="E19" s="74">
        <v>4027.9744860283463</v>
      </c>
      <c r="F19" s="54">
        <v>18.786020481475173</v>
      </c>
      <c r="G19" s="79">
        <v>3139.2520198111479</v>
      </c>
      <c r="H19" s="51">
        <v>21.133813802446053</v>
      </c>
      <c r="I19" s="80">
        <v>1838.5156814178627</v>
      </c>
      <c r="J19" s="52">
        <v>28.303829237175037</v>
      </c>
      <c r="K19" s="80">
        <v>242.39244872011639</v>
      </c>
      <c r="L19" s="52">
        <v>79.220486305888386</v>
      </c>
      <c r="M19" s="79" t="s">
        <v>114</v>
      </c>
      <c r="N19" s="51" t="s">
        <v>114</v>
      </c>
      <c r="O19" s="80">
        <v>781.93382432791111</v>
      </c>
      <c r="P19" s="52">
        <v>43.419177041386163</v>
      </c>
      <c r="Q19" s="80">
        <v>255.60668296115929</v>
      </c>
      <c r="R19" s="52">
        <v>73.149594254899043</v>
      </c>
      <c r="S19" s="80">
        <v>899.13559383533993</v>
      </c>
      <c r="T19" s="52">
        <v>40.554740836859771</v>
      </c>
      <c r="U19" s="79" t="s">
        <v>114</v>
      </c>
      <c r="V19" s="47" t="s">
        <v>114</v>
      </c>
    </row>
    <row r="20" spans="1:22" x14ac:dyDescent="0.2">
      <c r="A20" s="34"/>
      <c r="B20" s="45" t="str">
        <f>VLOOKUP("&lt;Zeilentitel_3.3&gt;",Uebersetzungen!$B$3:$E$83,Uebersetzungen!$B$2+1,FALSE)</f>
        <v>45-64</v>
      </c>
      <c r="C20" s="70">
        <v>59080.000000000189</v>
      </c>
      <c r="D20" s="51">
        <v>3.8848078343530807</v>
      </c>
      <c r="E20" s="75">
        <v>525.26450941010671</v>
      </c>
      <c r="F20" s="55">
        <v>49.929756325803105</v>
      </c>
      <c r="G20" s="80">
        <v>489.41244913496251</v>
      </c>
      <c r="H20" s="52">
        <v>51.695516947258277</v>
      </c>
      <c r="I20" s="80">
        <v>239.66684084958135</v>
      </c>
      <c r="J20" s="52">
        <v>73.076623482421695</v>
      </c>
      <c r="K20" s="79" t="s">
        <v>114</v>
      </c>
      <c r="L20" s="51" t="s">
        <v>114</v>
      </c>
      <c r="M20" s="79" t="s">
        <v>114</v>
      </c>
      <c r="N20" s="51" t="s">
        <v>114</v>
      </c>
      <c r="O20" s="79" t="s">
        <v>114</v>
      </c>
      <c r="P20" s="51" t="s">
        <v>114</v>
      </c>
      <c r="Q20" s="79" t="s">
        <v>114</v>
      </c>
      <c r="R20" s="51" t="s">
        <v>114</v>
      </c>
      <c r="S20" s="79" t="s">
        <v>114</v>
      </c>
      <c r="T20" s="51" t="s">
        <v>114</v>
      </c>
      <c r="U20" s="79" t="s">
        <v>114</v>
      </c>
      <c r="V20" s="47" t="s">
        <v>114</v>
      </c>
    </row>
    <row r="21" spans="1:22" x14ac:dyDescent="0.2">
      <c r="A21" s="34"/>
      <c r="B21" s="45" t="str">
        <f>VLOOKUP("&lt;Zeilentitel_3.4&gt;",Uebersetzungen!$B$3:$E$83,Uebersetzungen!$B$2+1,FALSE)</f>
        <v>65 und älter</v>
      </c>
      <c r="C21" s="70">
        <v>44152.000000000502</v>
      </c>
      <c r="D21" s="51">
        <v>4.5017942121198447</v>
      </c>
      <c r="E21" s="75">
        <v>163.81729436308666</v>
      </c>
      <c r="F21" s="55">
        <v>86.407664683285915</v>
      </c>
      <c r="G21" s="79" t="s">
        <v>114</v>
      </c>
      <c r="H21" s="51" t="s">
        <v>114</v>
      </c>
      <c r="I21" s="79" t="s">
        <v>114</v>
      </c>
      <c r="J21" s="51" t="s">
        <v>114</v>
      </c>
      <c r="K21" s="79" t="s">
        <v>114</v>
      </c>
      <c r="L21" s="51" t="s">
        <v>114</v>
      </c>
      <c r="M21" s="79" t="s">
        <v>114</v>
      </c>
      <c r="N21" s="51" t="s">
        <v>114</v>
      </c>
      <c r="O21" s="79" t="s">
        <v>114</v>
      </c>
      <c r="P21" s="51" t="s">
        <v>114</v>
      </c>
      <c r="Q21" s="79" t="s">
        <v>114</v>
      </c>
      <c r="R21" s="51" t="s">
        <v>114</v>
      </c>
      <c r="S21" s="79" t="s">
        <v>114</v>
      </c>
      <c r="T21" s="51" t="s">
        <v>114</v>
      </c>
      <c r="U21" s="79" t="s">
        <v>114</v>
      </c>
      <c r="V21" s="47" t="s">
        <v>114</v>
      </c>
    </row>
    <row r="22" spans="1:22" x14ac:dyDescent="0.2">
      <c r="A22" s="30" t="str">
        <f>VLOOKUP("&lt;Zeilentitel_4&gt;",Uebersetzungen!$B$3:$E$83,Uebersetzungen!$B$2+1,FALSE)</f>
        <v>Staatsangehörigkeit</v>
      </c>
      <c r="B22" s="43" t="str">
        <f>VLOOKUP("&lt;Zeilentitel_4.1&gt;",Uebersetzungen!$B$3:$E$83,Uebersetzungen!$B$2+1,FALSE)</f>
        <v>Schweiz</v>
      </c>
      <c r="C22" s="70">
        <v>139204.00000000111</v>
      </c>
      <c r="D22" s="51">
        <v>1.2994587979741978</v>
      </c>
      <c r="E22" s="74">
        <v>14007.364933842551</v>
      </c>
      <c r="F22" s="54">
        <v>9.3387581553379331</v>
      </c>
      <c r="G22" s="79">
        <v>11900.727680354781</v>
      </c>
      <c r="H22" s="51">
        <v>10.202409003298337</v>
      </c>
      <c r="I22" s="79">
        <v>6317.3247285568686</v>
      </c>
      <c r="J22" s="51">
        <v>14.195187141065539</v>
      </c>
      <c r="K22" s="80">
        <v>626.3942472349778</v>
      </c>
      <c r="L22" s="52">
        <v>47.050200049270366</v>
      </c>
      <c r="M22" s="80">
        <v>487.07692666909344</v>
      </c>
      <c r="N22" s="52">
        <v>51.730882710064016</v>
      </c>
      <c r="O22" s="79">
        <v>2224.5686884854476</v>
      </c>
      <c r="P22" s="51">
        <v>24.304891241838934</v>
      </c>
      <c r="Q22" s="80">
        <v>1625.7193960685186</v>
      </c>
      <c r="R22" s="52">
        <v>28.119149183547592</v>
      </c>
      <c r="S22" s="79">
        <v>2788.2310812416331</v>
      </c>
      <c r="T22" s="51">
        <v>21.815700927262171</v>
      </c>
      <c r="U22" s="79" t="s">
        <v>114</v>
      </c>
      <c r="V22" s="47" t="s">
        <v>114</v>
      </c>
    </row>
    <row r="23" spans="1:22" x14ac:dyDescent="0.2">
      <c r="A23" s="32"/>
      <c r="B23" s="45" t="str">
        <f>VLOOKUP("&lt;Zeilentitel_4.2&gt;",Uebersetzungen!$B$3:$E$83,Uebersetzungen!$B$2+1,FALSE)</f>
        <v>EU und EFTA</v>
      </c>
      <c r="C23" s="70">
        <v>27064.983765801488</v>
      </c>
      <c r="D23" s="51">
        <v>6.8207002529804068</v>
      </c>
      <c r="E23" s="74">
        <v>2065.3630860182398</v>
      </c>
      <c r="F23" s="54">
        <v>27.169850755893734</v>
      </c>
      <c r="G23" s="80">
        <v>1457.9622106544009</v>
      </c>
      <c r="H23" s="52">
        <v>32.40394847715055</v>
      </c>
      <c r="I23" s="80">
        <v>1404.5638965762087</v>
      </c>
      <c r="J23" s="52">
        <v>32.852227701431744</v>
      </c>
      <c r="K23" s="79" t="s">
        <v>114</v>
      </c>
      <c r="L23" s="51" t="s">
        <v>114</v>
      </c>
      <c r="M23" s="79" t="s">
        <v>114</v>
      </c>
      <c r="N23" s="51" t="s">
        <v>114</v>
      </c>
      <c r="O23" s="80">
        <v>528.31789216099946</v>
      </c>
      <c r="P23" s="52">
        <v>54.328331885204257</v>
      </c>
      <c r="Q23" s="79" t="s">
        <v>114</v>
      </c>
      <c r="R23" s="51" t="s">
        <v>114</v>
      </c>
      <c r="S23" s="80">
        <v>489.21998604216452</v>
      </c>
      <c r="T23" s="52">
        <v>56.017055295493996</v>
      </c>
      <c r="U23" s="80">
        <v>336.85357367793313</v>
      </c>
      <c r="V23" s="48">
        <v>68.62507504514106</v>
      </c>
    </row>
    <row r="24" spans="1:22" x14ac:dyDescent="0.2">
      <c r="A24" s="32"/>
      <c r="B24" s="45" t="str">
        <f>VLOOKUP("&lt;Zeilentitel_4.3&gt;",Uebersetzungen!$B$3:$E$83,Uebersetzungen!$B$2+1,FALSE)</f>
        <v>Anderer europäischer Staat</v>
      </c>
      <c r="C24" s="70">
        <v>3125.918260586051</v>
      </c>
      <c r="D24" s="51">
        <v>22.433578658784249</v>
      </c>
      <c r="E24" s="74" t="s">
        <v>114</v>
      </c>
      <c r="F24" s="54" t="s">
        <v>114</v>
      </c>
      <c r="G24" s="79" t="s">
        <v>114</v>
      </c>
      <c r="H24" s="51" t="s">
        <v>114</v>
      </c>
      <c r="I24" s="79" t="s">
        <v>114</v>
      </c>
      <c r="J24" s="51" t="s">
        <v>114</v>
      </c>
      <c r="K24" s="79" t="s">
        <v>114</v>
      </c>
      <c r="L24" s="51" t="s">
        <v>114</v>
      </c>
      <c r="M24" s="79" t="s">
        <v>114</v>
      </c>
      <c r="N24" s="51" t="s">
        <v>114</v>
      </c>
      <c r="O24" s="79" t="s">
        <v>114</v>
      </c>
      <c r="P24" s="51" t="s">
        <v>114</v>
      </c>
      <c r="Q24" s="79" t="s">
        <v>114</v>
      </c>
      <c r="R24" s="51" t="s">
        <v>114</v>
      </c>
      <c r="S24" s="79" t="s">
        <v>114</v>
      </c>
      <c r="T24" s="51" t="s">
        <v>114</v>
      </c>
      <c r="U24" s="79" t="s">
        <v>114</v>
      </c>
      <c r="V24" s="47" t="s">
        <v>114</v>
      </c>
    </row>
    <row r="25" spans="1:22" x14ac:dyDescent="0.2">
      <c r="A25" s="32"/>
      <c r="B25" s="45" t="str">
        <f>VLOOKUP("&lt;Zeilentitel_4.4&gt;",Uebersetzungen!$B$3:$E$83,Uebersetzungen!$B$2+1,FALSE)</f>
        <v>Andere Staaten</v>
      </c>
      <c r="C25" s="70">
        <v>3592.0979736129125</v>
      </c>
      <c r="D25" s="51">
        <v>20.785204303073488</v>
      </c>
      <c r="E25" s="75">
        <v>568.86838328584554</v>
      </c>
      <c r="F25" s="55">
        <v>54.437603680625379</v>
      </c>
      <c r="G25" s="80">
        <v>355.24525039417807</v>
      </c>
      <c r="H25" s="52">
        <v>69.258890912271411</v>
      </c>
      <c r="I25" s="80">
        <v>386.68757865999692</v>
      </c>
      <c r="J25" s="52">
        <v>65.922864189573431</v>
      </c>
      <c r="K25" s="79" t="s">
        <v>114</v>
      </c>
      <c r="L25" s="51" t="s">
        <v>114</v>
      </c>
      <c r="M25" s="79" t="s">
        <v>114</v>
      </c>
      <c r="N25" s="51" t="s">
        <v>114</v>
      </c>
      <c r="O25" s="79" t="s">
        <v>114</v>
      </c>
      <c r="P25" s="51" t="s">
        <v>114</v>
      </c>
      <c r="Q25" s="79" t="s">
        <v>114</v>
      </c>
      <c r="R25" s="51" t="s">
        <v>114</v>
      </c>
      <c r="S25" s="79" t="s">
        <v>114</v>
      </c>
      <c r="T25" s="51" t="s">
        <v>114</v>
      </c>
      <c r="U25" s="79" t="s">
        <v>114</v>
      </c>
      <c r="V25" s="47" t="s">
        <v>114</v>
      </c>
    </row>
    <row r="26" spans="1:22" x14ac:dyDescent="0.2">
      <c r="A26" s="31"/>
      <c r="B26" s="45" t="str">
        <f>VLOOKUP("&lt;Zeilentitel_4.5&gt;",Uebersetzungen!$B$3:$E$83,Uebersetzungen!$B$2+1,FALSE)</f>
        <v>Staatsangehörigkeit unbekannt</v>
      </c>
      <c r="C26" s="70" t="s">
        <v>114</v>
      </c>
      <c r="D26" s="51" t="s">
        <v>114</v>
      </c>
      <c r="E26" s="74" t="s">
        <v>114</v>
      </c>
      <c r="F26" s="54" t="s">
        <v>114</v>
      </c>
      <c r="G26" s="79" t="s">
        <v>114</v>
      </c>
      <c r="H26" s="51" t="s">
        <v>114</v>
      </c>
      <c r="I26" s="79" t="s">
        <v>114</v>
      </c>
      <c r="J26" s="51" t="s">
        <v>114</v>
      </c>
      <c r="K26" s="79" t="s">
        <v>114</v>
      </c>
      <c r="L26" s="51" t="s">
        <v>114</v>
      </c>
      <c r="M26" s="79" t="s">
        <v>114</v>
      </c>
      <c r="N26" s="51" t="s">
        <v>114</v>
      </c>
      <c r="O26" s="79" t="s">
        <v>114</v>
      </c>
      <c r="P26" s="51" t="s">
        <v>114</v>
      </c>
      <c r="Q26" s="79" t="s">
        <v>114</v>
      </c>
      <c r="R26" s="51" t="s">
        <v>114</v>
      </c>
      <c r="S26" s="79" t="s">
        <v>114</v>
      </c>
      <c r="T26" s="51" t="s">
        <v>114</v>
      </c>
      <c r="U26" s="79" t="s">
        <v>114</v>
      </c>
      <c r="V26" s="47" t="s">
        <v>114</v>
      </c>
    </row>
    <row r="27" spans="1:22" x14ac:dyDescent="0.2">
      <c r="A27" s="30" t="str">
        <f>VLOOKUP("&lt;Zeilentitel_5&gt;",Uebersetzungen!$B$3:$E$83,Uebersetzungen!$B$2+1,FALSE)</f>
        <v>Migrationsstatus</v>
      </c>
      <c r="B27" s="43" t="str">
        <f>VLOOKUP("&lt;Zeilentitel_5.1&gt;",Uebersetzungen!$B$3:$E$83,Uebersetzungen!$B$2+1,FALSE)</f>
        <v>Schweizer/innen ohne Migrationshintergrund</v>
      </c>
      <c r="C27" s="70">
        <v>122616.61450815987</v>
      </c>
      <c r="D27" s="51">
        <v>1.7145052831186325</v>
      </c>
      <c r="E27" s="74">
        <v>12675.901462329524</v>
      </c>
      <c r="F27" s="54">
        <v>9.8605859069964357</v>
      </c>
      <c r="G27" s="79">
        <v>10787.917245363875</v>
      </c>
      <c r="H27" s="51">
        <v>10.760327397291064</v>
      </c>
      <c r="I27" s="79">
        <v>5654.4761672115665</v>
      </c>
      <c r="J27" s="51">
        <v>15.037813551346398</v>
      </c>
      <c r="K27" s="80">
        <v>548.48450925760892</v>
      </c>
      <c r="L27" s="52">
        <v>50.112995091932852</v>
      </c>
      <c r="M27" s="80">
        <v>487.07692666909344</v>
      </c>
      <c r="N27" s="52">
        <v>51.730882710064016</v>
      </c>
      <c r="O27" s="79">
        <v>2031.6178812668195</v>
      </c>
      <c r="P27" s="51">
        <v>25.329695338981761</v>
      </c>
      <c r="Q27" s="80">
        <v>1561.2314206852263</v>
      </c>
      <c r="R27" s="52">
        <v>28.742433843019491</v>
      </c>
      <c r="S27" s="79">
        <v>2605.4518901998431</v>
      </c>
      <c r="T27" s="51">
        <v>22.560198989631917</v>
      </c>
      <c r="U27" s="79" t="s">
        <v>114</v>
      </c>
      <c r="V27" s="47" t="s">
        <v>114</v>
      </c>
    </row>
    <row r="28" spans="1:22" x14ac:dyDescent="0.2">
      <c r="A28" s="32"/>
      <c r="B28" s="45" t="str">
        <f>VLOOKUP("&lt;Zeilentitel_5.2&gt;",Uebersetzungen!$B$3:$E$83,Uebersetzungen!$B$2+1,FALSE)</f>
        <v>Schweizer/innen mit Migrationshintergrund</v>
      </c>
      <c r="C28" s="70">
        <v>15629.546250560858</v>
      </c>
      <c r="D28" s="51">
        <v>8.6791579709556306</v>
      </c>
      <c r="E28" s="75">
        <v>1294.5304571435584</v>
      </c>
      <c r="F28" s="55">
        <v>31.803546148281558</v>
      </c>
      <c r="G28" s="80">
        <v>1075.8774206214343</v>
      </c>
      <c r="H28" s="52">
        <v>34.766757770370347</v>
      </c>
      <c r="I28" s="80">
        <v>625.91554697583263</v>
      </c>
      <c r="J28" s="52">
        <v>45.69031142106688</v>
      </c>
      <c r="K28" s="79" t="s">
        <v>114</v>
      </c>
      <c r="L28" s="51" t="s">
        <v>114</v>
      </c>
      <c r="M28" s="79" t="s">
        <v>114</v>
      </c>
      <c r="N28" s="51" t="s">
        <v>114</v>
      </c>
      <c r="O28" s="79" t="s">
        <v>114</v>
      </c>
      <c r="P28" s="51" t="s">
        <v>114</v>
      </c>
      <c r="Q28" s="79" t="s">
        <v>114</v>
      </c>
      <c r="R28" s="51" t="s">
        <v>114</v>
      </c>
      <c r="S28" s="80">
        <v>182.77919104178989</v>
      </c>
      <c r="T28" s="52">
        <v>86.877901908333939</v>
      </c>
      <c r="U28" s="79" t="s">
        <v>114</v>
      </c>
      <c r="V28" s="47" t="s">
        <v>114</v>
      </c>
    </row>
    <row r="29" spans="1:22" x14ac:dyDescent="0.2">
      <c r="A29" s="32"/>
      <c r="B29" s="45" t="str">
        <f>VLOOKUP("&lt;Zeilentitel_5.3&gt;",Uebersetzungen!$B$3:$E$83,Uebersetzungen!$B$2+1,FALSE)</f>
        <v>Ausländer/innen der ersten Generation</v>
      </c>
      <c r="C29" s="70">
        <v>31359.402603251627</v>
      </c>
      <c r="D29" s="51">
        <v>6.3087876246097645</v>
      </c>
      <c r="E29" s="75">
        <v>1973.9295095066479</v>
      </c>
      <c r="F29" s="55">
        <v>28.401645052445616</v>
      </c>
      <c r="G29" s="80">
        <v>1109.4841200824328</v>
      </c>
      <c r="H29" s="52">
        <v>38.28756370927595</v>
      </c>
      <c r="I29" s="80">
        <v>1324.8141751722067</v>
      </c>
      <c r="J29" s="52">
        <v>34.540794024387139</v>
      </c>
      <c r="K29" s="79" t="s">
        <v>114</v>
      </c>
      <c r="L29" s="51" t="s">
        <v>114</v>
      </c>
      <c r="M29" s="79" t="s">
        <v>114</v>
      </c>
      <c r="N29" s="51" t="s">
        <v>114</v>
      </c>
      <c r="O29" s="80">
        <v>538.56402155651722</v>
      </c>
      <c r="P29" s="52">
        <v>54.257952446918921</v>
      </c>
      <c r="Q29" s="79" t="s">
        <v>114</v>
      </c>
      <c r="R29" s="51" t="s">
        <v>114</v>
      </c>
      <c r="S29" s="80">
        <v>416.62661738456052</v>
      </c>
      <c r="T29" s="52">
        <v>61.871865207726714</v>
      </c>
      <c r="U29" s="80">
        <v>254.03650367951883</v>
      </c>
      <c r="V29" s="48">
        <v>79.282158990401101</v>
      </c>
    </row>
    <row r="30" spans="1:22" ht="25.5" x14ac:dyDescent="0.2">
      <c r="A30" s="32"/>
      <c r="B30" s="45" t="str">
        <f>VLOOKUP("&lt;Zeilentitel_5.4&gt;",Uebersetzungen!$B$3:$E$83,Uebersetzungen!$B$2+1,FALSE)</f>
        <v>Ausländer/innen der zweiten und höheren Generation</v>
      </c>
      <c r="C30" s="70">
        <v>2340.0852101068194</v>
      </c>
      <c r="D30" s="51">
        <v>25.364680650187399</v>
      </c>
      <c r="E30" s="75">
        <v>778.70132770404302</v>
      </c>
      <c r="F30" s="55">
        <v>43.375918153437873</v>
      </c>
      <c r="G30" s="80">
        <v>778.70132770404302</v>
      </c>
      <c r="H30" s="52">
        <v>43.375918153437873</v>
      </c>
      <c r="I30" s="80">
        <v>585.05236665027905</v>
      </c>
      <c r="J30" s="52">
        <v>50.159281490397994</v>
      </c>
      <c r="K30" s="79" t="s">
        <v>114</v>
      </c>
      <c r="L30" s="51" t="s">
        <v>114</v>
      </c>
      <c r="M30" s="79" t="s">
        <v>114</v>
      </c>
      <c r="N30" s="51" t="s">
        <v>114</v>
      </c>
      <c r="O30" s="79" t="s">
        <v>114</v>
      </c>
      <c r="P30" s="51" t="s">
        <v>114</v>
      </c>
      <c r="Q30" s="79" t="s">
        <v>114</v>
      </c>
      <c r="R30" s="51" t="s">
        <v>114</v>
      </c>
      <c r="S30" s="80">
        <v>223.37338164508259</v>
      </c>
      <c r="T30" s="52">
        <v>78.995506599926756</v>
      </c>
      <c r="U30" s="79" t="s">
        <v>114</v>
      </c>
      <c r="V30" s="47" t="s">
        <v>114</v>
      </c>
    </row>
    <row r="31" spans="1:22" x14ac:dyDescent="0.2">
      <c r="A31" s="31"/>
      <c r="B31" s="45" t="str">
        <f>VLOOKUP("&lt;Zeilentitel_5.5&gt;",Uebersetzungen!$B$3:$E$83,Uebersetzungen!$B$2+1,FALSE)</f>
        <v>Migrationshintergrund unbekannt</v>
      </c>
      <c r="C31" s="71">
        <v>1041.3514279221372</v>
      </c>
      <c r="D31" s="52">
        <v>35.886950195120697</v>
      </c>
      <c r="E31" s="74" t="s">
        <v>114</v>
      </c>
      <c r="F31" s="54" t="s">
        <v>114</v>
      </c>
      <c r="G31" s="79" t="s">
        <v>114</v>
      </c>
      <c r="H31" s="51" t="s">
        <v>114</v>
      </c>
      <c r="I31" s="79" t="s">
        <v>114</v>
      </c>
      <c r="J31" s="51" t="s">
        <v>114</v>
      </c>
      <c r="K31" s="79" t="s">
        <v>114</v>
      </c>
      <c r="L31" s="51" t="s">
        <v>114</v>
      </c>
      <c r="M31" s="79" t="s">
        <v>114</v>
      </c>
      <c r="N31" s="51" t="s">
        <v>114</v>
      </c>
      <c r="O31" s="79" t="s">
        <v>114</v>
      </c>
      <c r="P31" s="51" t="s">
        <v>114</v>
      </c>
      <c r="Q31" s="79" t="s">
        <v>114</v>
      </c>
      <c r="R31" s="51" t="s">
        <v>114</v>
      </c>
      <c r="S31" s="79" t="s">
        <v>114</v>
      </c>
      <c r="T31" s="51" t="s">
        <v>114</v>
      </c>
      <c r="U31" s="79" t="s">
        <v>114</v>
      </c>
      <c r="V31" s="47" t="s">
        <v>114</v>
      </c>
    </row>
    <row r="32" spans="1:22" x14ac:dyDescent="0.2">
      <c r="A32" s="30" t="str">
        <f>VLOOKUP("&lt;Zeilentitel_6&gt;",Uebersetzungen!$B$3:$E$83,Uebersetzungen!$B$2+1,FALSE)</f>
        <v>Arbeitsmarktstatus</v>
      </c>
      <c r="B32" s="43" t="str">
        <f>VLOOKUP("&lt;T2Zeilentitel_6.1&gt;",Uebersetzungen!$B$3:$E$83,Uebersetzungen!$B$2+1,FALSE)</f>
        <v>Erwerbstätige</v>
      </c>
      <c r="C32" s="70">
        <v>107516.60503392141</v>
      </c>
      <c r="D32" s="51">
        <v>2.2329611220093946</v>
      </c>
      <c r="E32" s="74">
        <v>7986.9707051502965</v>
      </c>
      <c r="F32" s="54">
        <v>12.7781349947862</v>
      </c>
      <c r="G32" s="79">
        <v>6832.0538640338473</v>
      </c>
      <c r="H32" s="51">
        <v>13.816110352792409</v>
      </c>
      <c r="I32" s="79">
        <v>3089.5357471769762</v>
      </c>
      <c r="J32" s="51">
        <v>20.925120684506947</v>
      </c>
      <c r="K32" s="80">
        <v>225.975572452325</v>
      </c>
      <c r="L32" s="52">
        <v>79.1040121513701</v>
      </c>
      <c r="M32" s="80">
        <v>241.0894971323408</v>
      </c>
      <c r="N32" s="52">
        <v>73.118216463629963</v>
      </c>
      <c r="O32" s="80">
        <v>1367.9670229195992</v>
      </c>
      <c r="P32" s="52">
        <v>31.426139030717675</v>
      </c>
      <c r="Q32" s="80">
        <v>860.62575451801035</v>
      </c>
      <c r="R32" s="52">
        <v>38.606943695041558</v>
      </c>
      <c r="S32" s="80">
        <v>1313.6027030677142</v>
      </c>
      <c r="T32" s="52">
        <v>31.792962945851222</v>
      </c>
      <c r="U32" s="80">
        <v>239.14921943468161</v>
      </c>
      <c r="V32" s="48">
        <v>79.789880344089795</v>
      </c>
    </row>
    <row r="33" spans="1:22" x14ac:dyDescent="0.2">
      <c r="A33" s="32"/>
      <c r="B33" s="45" t="str">
        <f>VLOOKUP("&lt;T2Zeilentitel_6.2&gt;",Uebersetzungen!$B$3:$E$83,Uebersetzungen!$B$2+1,FALSE)</f>
        <v>Erwerbslose</v>
      </c>
      <c r="C33" s="70">
        <v>2273.582534576155</v>
      </c>
      <c r="D33" s="51">
        <v>25.546793337573479</v>
      </c>
      <c r="E33" s="74" t="s">
        <v>114</v>
      </c>
      <c r="F33" s="54" t="s">
        <v>114</v>
      </c>
      <c r="G33" s="79" t="s">
        <v>114</v>
      </c>
      <c r="H33" s="51" t="s">
        <v>114</v>
      </c>
      <c r="I33" s="79" t="s">
        <v>114</v>
      </c>
      <c r="J33" s="51" t="s">
        <v>114</v>
      </c>
      <c r="K33" s="79" t="s">
        <v>114</v>
      </c>
      <c r="L33" s="51" t="s">
        <v>114</v>
      </c>
      <c r="M33" s="79" t="s">
        <v>114</v>
      </c>
      <c r="N33" s="51" t="s">
        <v>114</v>
      </c>
      <c r="O33" s="79" t="s">
        <v>114</v>
      </c>
      <c r="P33" s="51" t="s">
        <v>114</v>
      </c>
      <c r="Q33" s="79" t="s">
        <v>114</v>
      </c>
      <c r="R33" s="51" t="s">
        <v>114</v>
      </c>
      <c r="S33" s="79" t="s">
        <v>114</v>
      </c>
      <c r="T33" s="51" t="s">
        <v>114</v>
      </c>
      <c r="U33" s="79" t="s">
        <v>114</v>
      </c>
      <c r="V33" s="47" t="s">
        <v>114</v>
      </c>
    </row>
    <row r="34" spans="1:22" x14ac:dyDescent="0.2">
      <c r="A34" s="31"/>
      <c r="B34" s="45" t="str">
        <f>VLOOKUP("&lt;T2Zeilentitel_6.3&gt;",Uebersetzungen!$B$3:$E$83,Uebersetzungen!$B$2+1,FALSE)</f>
        <v>Nichterwerbspersonen</v>
      </c>
      <c r="C34" s="70">
        <v>63196.812431503633</v>
      </c>
      <c r="D34" s="51">
        <v>3.5749644565401599</v>
      </c>
      <c r="E34" s="74">
        <v>8707.6804492583215</v>
      </c>
      <c r="F34" s="54">
        <v>12.242818228097377</v>
      </c>
      <c r="G34" s="79">
        <v>6922.9170845855388</v>
      </c>
      <c r="H34" s="51">
        <v>13.784386952647969</v>
      </c>
      <c r="I34" s="79">
        <v>5101.9761630200965</v>
      </c>
      <c r="J34" s="51">
        <v>16.185045279922935</v>
      </c>
      <c r="K34" s="80">
        <v>476.8297733270519</v>
      </c>
      <c r="L34" s="52">
        <v>53.834285767054105</v>
      </c>
      <c r="M34" s="80">
        <v>245.98742953675259</v>
      </c>
      <c r="N34" s="52">
        <v>73.291660539796567</v>
      </c>
      <c r="O34" s="80">
        <v>1399.3219879541716</v>
      </c>
      <c r="P34" s="52">
        <v>31.561222647372517</v>
      </c>
      <c r="Q34" s="80">
        <v>879.87444156307311</v>
      </c>
      <c r="R34" s="52">
        <v>38.68669308594076</v>
      </c>
      <c r="S34" s="79">
        <v>2078.9490170212757</v>
      </c>
      <c r="T34" s="51">
        <v>25.898451015063653</v>
      </c>
      <c r="U34" s="80">
        <v>233.06978594079436</v>
      </c>
      <c r="V34" s="48">
        <v>79.341106184876068</v>
      </c>
    </row>
    <row r="35" spans="1:22" x14ac:dyDescent="0.2">
      <c r="A35" s="32" t="str">
        <f>VLOOKUP("&lt;Zeilentitel_7&gt;",Uebersetzungen!$B$3:$E$83,Uebersetzungen!$B$2+1,FALSE)</f>
        <v>Sozioprofessionelle Kategorien</v>
      </c>
      <c r="B35" s="43" t="str">
        <f>VLOOKUP("&lt;Zeilentitel_7.1&gt;",Uebersetzungen!$B$3:$E$83,Uebersetzungen!$B$2+1,FALSE)</f>
        <v>Oberstes Management</v>
      </c>
      <c r="C35" s="70">
        <v>2953.3948145954159</v>
      </c>
      <c r="D35" s="51">
        <v>20.757746539864385</v>
      </c>
      <c r="E35" s="74" t="s">
        <v>114</v>
      </c>
      <c r="F35" s="54" t="s">
        <v>114</v>
      </c>
      <c r="G35" s="79" t="s">
        <v>114</v>
      </c>
      <c r="H35" s="51" t="s">
        <v>114</v>
      </c>
      <c r="I35" s="79" t="s">
        <v>114</v>
      </c>
      <c r="J35" s="51" t="s">
        <v>114</v>
      </c>
      <c r="K35" s="79" t="s">
        <v>114</v>
      </c>
      <c r="L35" s="51" t="s">
        <v>114</v>
      </c>
      <c r="M35" s="79" t="s">
        <v>114</v>
      </c>
      <c r="N35" s="51" t="s">
        <v>114</v>
      </c>
      <c r="O35" s="79" t="s">
        <v>114</v>
      </c>
      <c r="P35" s="51" t="s">
        <v>114</v>
      </c>
      <c r="Q35" s="79" t="s">
        <v>114</v>
      </c>
      <c r="R35" s="51" t="s">
        <v>114</v>
      </c>
      <c r="S35" s="79" t="s">
        <v>114</v>
      </c>
      <c r="T35" s="51" t="s">
        <v>114</v>
      </c>
      <c r="U35" s="79" t="s">
        <v>114</v>
      </c>
      <c r="V35" s="47" t="s">
        <v>114</v>
      </c>
    </row>
    <row r="36" spans="1:22" x14ac:dyDescent="0.2">
      <c r="A36" s="33"/>
      <c r="B36" s="45" t="str">
        <f>VLOOKUP("&lt;Zeilentitel_7.2&gt;",Uebersetzungen!$B$3:$E$83,Uebersetzungen!$B$2+1,FALSE)</f>
        <v>Freie und gleichgestellte Berufe</v>
      </c>
      <c r="C36" s="70">
        <v>2954.6168063002165</v>
      </c>
      <c r="D36" s="51">
        <v>20.718263642941835</v>
      </c>
      <c r="E36" s="74" t="s">
        <v>114</v>
      </c>
      <c r="F36" s="54" t="s">
        <v>114</v>
      </c>
      <c r="G36" s="79" t="s">
        <v>114</v>
      </c>
      <c r="H36" s="51" t="s">
        <v>114</v>
      </c>
      <c r="I36" s="79" t="s">
        <v>114</v>
      </c>
      <c r="J36" s="51" t="s">
        <v>114</v>
      </c>
      <c r="K36" s="79" t="s">
        <v>114</v>
      </c>
      <c r="L36" s="51" t="s">
        <v>114</v>
      </c>
      <c r="M36" s="79" t="s">
        <v>114</v>
      </c>
      <c r="N36" s="51" t="s">
        <v>114</v>
      </c>
      <c r="O36" s="79" t="s">
        <v>114</v>
      </c>
      <c r="P36" s="51" t="s">
        <v>114</v>
      </c>
      <c r="Q36" s="79" t="s">
        <v>114</v>
      </c>
      <c r="R36" s="51" t="s">
        <v>114</v>
      </c>
      <c r="S36" s="79" t="s">
        <v>114</v>
      </c>
      <c r="T36" s="51" t="s">
        <v>114</v>
      </c>
      <c r="U36" s="79" t="s">
        <v>114</v>
      </c>
      <c r="V36" s="47" t="s">
        <v>114</v>
      </c>
    </row>
    <row r="37" spans="1:22" x14ac:dyDescent="0.2">
      <c r="A37" s="34"/>
      <c r="B37" s="45" t="str">
        <f>VLOOKUP("&lt;Zeilentitel_7.3&gt;",Uebersetzungen!$B$3:$E$83,Uebersetzungen!$B$2+1,FALSE)</f>
        <v>Andere Selbstständige</v>
      </c>
      <c r="C37" s="70">
        <v>12636.193618091322</v>
      </c>
      <c r="D37" s="51">
        <v>9.9706743754828704</v>
      </c>
      <c r="E37" s="74" t="s">
        <v>114</v>
      </c>
      <c r="F37" s="54" t="s">
        <v>114</v>
      </c>
      <c r="G37" s="79" t="s">
        <v>114</v>
      </c>
      <c r="H37" s="51" t="s">
        <v>114</v>
      </c>
      <c r="I37" s="79" t="s">
        <v>114</v>
      </c>
      <c r="J37" s="51" t="s">
        <v>114</v>
      </c>
      <c r="K37" s="79" t="s">
        <v>114</v>
      </c>
      <c r="L37" s="51" t="s">
        <v>114</v>
      </c>
      <c r="M37" s="79" t="s">
        <v>114</v>
      </c>
      <c r="N37" s="51" t="s">
        <v>114</v>
      </c>
      <c r="O37" s="79" t="s">
        <v>114</v>
      </c>
      <c r="P37" s="51" t="s">
        <v>114</v>
      </c>
      <c r="Q37" s="79" t="s">
        <v>114</v>
      </c>
      <c r="R37" s="51" t="s">
        <v>114</v>
      </c>
      <c r="S37" s="79" t="s">
        <v>114</v>
      </c>
      <c r="T37" s="51" t="s">
        <v>114</v>
      </c>
      <c r="U37" s="79" t="s">
        <v>114</v>
      </c>
      <c r="V37" s="47" t="s">
        <v>114</v>
      </c>
    </row>
    <row r="38" spans="1:22" x14ac:dyDescent="0.2">
      <c r="A38" s="34"/>
      <c r="B38" s="45" t="str">
        <f>VLOOKUP("&lt;Zeilentitel_7.4&gt;",Uebersetzungen!$B$3:$E$83,Uebersetzungen!$B$2+1,FALSE)</f>
        <v>Akademische Berufe und oberes Kader</v>
      </c>
      <c r="C38" s="70">
        <v>14768.995519368731</v>
      </c>
      <c r="D38" s="51">
        <v>8.9235268938046044</v>
      </c>
      <c r="E38" s="75">
        <v>1205.4414853901926</v>
      </c>
      <c r="F38" s="55">
        <v>33.644929048189631</v>
      </c>
      <c r="G38" s="80">
        <v>902.1124099812148</v>
      </c>
      <c r="H38" s="52">
        <v>38.695386893112875</v>
      </c>
      <c r="I38" s="80">
        <v>578.11986680106929</v>
      </c>
      <c r="J38" s="52">
        <v>48.394994603354967</v>
      </c>
      <c r="K38" s="79" t="s">
        <v>114</v>
      </c>
      <c r="L38" s="51" t="s">
        <v>114</v>
      </c>
      <c r="M38" s="79" t="s">
        <v>114</v>
      </c>
      <c r="N38" s="51" t="s">
        <v>114</v>
      </c>
      <c r="O38" s="80">
        <v>175.34516374524964</v>
      </c>
      <c r="P38" s="52">
        <v>86.708679204242586</v>
      </c>
      <c r="Q38" s="79" t="s">
        <v>114</v>
      </c>
      <c r="R38" s="51" t="s">
        <v>114</v>
      </c>
      <c r="S38" s="80">
        <v>414.7149080114923</v>
      </c>
      <c r="T38" s="52">
        <v>58.364338213932406</v>
      </c>
      <c r="U38" s="79" t="s">
        <v>114</v>
      </c>
      <c r="V38" s="47" t="s">
        <v>114</v>
      </c>
    </row>
    <row r="39" spans="1:22" x14ac:dyDescent="0.2">
      <c r="A39" s="34"/>
      <c r="B39" s="45" t="str">
        <f>VLOOKUP("&lt;Zeilentitel_7.5&gt;",Uebersetzungen!$B$3:$E$83,Uebersetzungen!$B$2+1,FALSE)</f>
        <v>Intermediäre Berufe</v>
      </c>
      <c r="C39" s="70">
        <v>31790.919442611848</v>
      </c>
      <c r="D39" s="51">
        <v>5.8999378246301468</v>
      </c>
      <c r="E39" s="75">
        <v>1537.5652116664617</v>
      </c>
      <c r="F39" s="55">
        <v>29.847739056029763</v>
      </c>
      <c r="G39" s="80">
        <v>1328.6807509490145</v>
      </c>
      <c r="H39" s="52">
        <v>32.221304938532214</v>
      </c>
      <c r="I39" s="80">
        <v>618.84869459866309</v>
      </c>
      <c r="J39" s="52">
        <v>47.174989951529298</v>
      </c>
      <c r="K39" s="79" t="s">
        <v>114</v>
      </c>
      <c r="L39" s="51" t="s">
        <v>114</v>
      </c>
      <c r="M39" s="79" t="s">
        <v>114</v>
      </c>
      <c r="N39" s="51" t="s">
        <v>114</v>
      </c>
      <c r="O39" s="80">
        <v>227.98332558069808</v>
      </c>
      <c r="P39" s="52">
        <v>79.433298527819559</v>
      </c>
      <c r="Q39" s="79" t="s">
        <v>114</v>
      </c>
      <c r="R39" s="51" t="s">
        <v>114</v>
      </c>
      <c r="S39" s="80">
        <v>164.19526363441338</v>
      </c>
      <c r="T39" s="52">
        <v>86.876783837237312</v>
      </c>
      <c r="U39" s="79" t="s">
        <v>114</v>
      </c>
      <c r="V39" s="47" t="s">
        <v>114</v>
      </c>
    </row>
    <row r="40" spans="1:22" x14ac:dyDescent="0.2">
      <c r="A40" s="34"/>
      <c r="B40" s="45" t="str">
        <f>VLOOKUP("&lt;Zeilentitel_7.6&gt;",Uebersetzungen!$B$3:$E$83,Uebersetzungen!$B$2+1,FALSE)</f>
        <v>Qualifizierte nichtmanuelle Berufe</v>
      </c>
      <c r="C40" s="70">
        <v>19687.931100661244</v>
      </c>
      <c r="D40" s="51">
        <v>7.8145678044516167</v>
      </c>
      <c r="E40" s="75">
        <v>1127.4418337883549</v>
      </c>
      <c r="F40" s="55">
        <v>34.709520051366624</v>
      </c>
      <c r="G40" s="80">
        <v>1045.2819833677352</v>
      </c>
      <c r="H40" s="52">
        <v>35.880837715559139</v>
      </c>
      <c r="I40" s="80">
        <v>438.34846696678255</v>
      </c>
      <c r="J40" s="52">
        <v>55.960691736565806</v>
      </c>
      <c r="K40" s="79" t="s">
        <v>114</v>
      </c>
      <c r="L40" s="51" t="s">
        <v>114</v>
      </c>
      <c r="M40" s="79" t="s">
        <v>114</v>
      </c>
      <c r="N40" s="51" t="s">
        <v>114</v>
      </c>
      <c r="O40" s="80">
        <v>331.03392881605924</v>
      </c>
      <c r="P40" s="52">
        <v>64.617824957568914</v>
      </c>
      <c r="Q40" s="79" t="s">
        <v>114</v>
      </c>
      <c r="R40" s="51" t="s">
        <v>114</v>
      </c>
      <c r="S40" s="80">
        <v>215.63451255346513</v>
      </c>
      <c r="T40" s="52">
        <v>79.264527275969968</v>
      </c>
      <c r="U40" s="79" t="s">
        <v>114</v>
      </c>
      <c r="V40" s="47" t="s">
        <v>114</v>
      </c>
    </row>
    <row r="41" spans="1:22" x14ac:dyDescent="0.2">
      <c r="A41" s="34"/>
      <c r="B41" s="45" t="str">
        <f>VLOOKUP("&lt;Zeilentitel_7.7&gt;",Uebersetzungen!$B$3:$E$83,Uebersetzungen!$B$2+1,FALSE)</f>
        <v>Qualifizierte manuelle Berufe</v>
      </c>
      <c r="C41" s="70">
        <v>9484.8792043123321</v>
      </c>
      <c r="D41" s="51">
        <v>11.864977699035611</v>
      </c>
      <c r="E41" s="75">
        <v>249.37422112557886</v>
      </c>
      <c r="F41" s="55">
        <v>73.378877608811166</v>
      </c>
      <c r="G41" s="80">
        <v>249.37422112557886</v>
      </c>
      <c r="H41" s="52">
        <v>73.378877608811166</v>
      </c>
      <c r="I41" s="79" t="s">
        <v>114</v>
      </c>
      <c r="J41" s="51" t="s">
        <v>114</v>
      </c>
      <c r="K41" s="79" t="s">
        <v>114</v>
      </c>
      <c r="L41" s="51" t="s">
        <v>114</v>
      </c>
      <c r="M41" s="79" t="s">
        <v>114</v>
      </c>
      <c r="N41" s="51" t="s">
        <v>114</v>
      </c>
      <c r="O41" s="79" t="s">
        <v>114</v>
      </c>
      <c r="P41" s="51" t="s">
        <v>114</v>
      </c>
      <c r="Q41" s="79" t="s">
        <v>114</v>
      </c>
      <c r="R41" s="51" t="s">
        <v>114</v>
      </c>
      <c r="S41" s="79" t="s">
        <v>114</v>
      </c>
      <c r="T41" s="51" t="s">
        <v>114</v>
      </c>
      <c r="U41" s="79" t="s">
        <v>114</v>
      </c>
      <c r="V41" s="47" t="s">
        <v>114</v>
      </c>
    </row>
    <row r="42" spans="1:22" x14ac:dyDescent="0.2">
      <c r="A42" s="34"/>
      <c r="B42" s="45" t="str">
        <f>VLOOKUP("&lt;Zeilentitel_7.8&gt;",Uebersetzungen!$B$3:$E$83,Uebersetzungen!$B$2+1,FALSE)</f>
        <v>Ungelernte Angestellte und Arbeiter</v>
      </c>
      <c r="C42" s="70">
        <v>7868.3355356968314</v>
      </c>
      <c r="D42" s="51">
        <v>13.346655540716672</v>
      </c>
      <c r="E42" s="75">
        <v>356.74526542988275</v>
      </c>
      <c r="F42" s="55">
        <v>61.522505297077018</v>
      </c>
      <c r="G42" s="80">
        <v>272.07384586904249</v>
      </c>
      <c r="H42" s="52">
        <v>68.333790972607815</v>
      </c>
      <c r="I42" s="79" t="s">
        <v>114</v>
      </c>
      <c r="J42" s="51" t="s">
        <v>114</v>
      </c>
      <c r="K42" s="79" t="s">
        <v>114</v>
      </c>
      <c r="L42" s="51" t="s">
        <v>114</v>
      </c>
      <c r="M42" s="79" t="s">
        <v>114</v>
      </c>
      <c r="N42" s="51" t="s">
        <v>114</v>
      </c>
      <c r="O42" s="79" t="s">
        <v>114</v>
      </c>
      <c r="P42" s="51" t="s">
        <v>114</v>
      </c>
      <c r="Q42" s="79" t="s">
        <v>114</v>
      </c>
      <c r="R42" s="51" t="s">
        <v>114</v>
      </c>
      <c r="S42" s="79" t="s">
        <v>114</v>
      </c>
      <c r="T42" s="51" t="s">
        <v>114</v>
      </c>
      <c r="U42" s="79" t="s">
        <v>114</v>
      </c>
      <c r="V42" s="47" t="s">
        <v>114</v>
      </c>
    </row>
    <row r="43" spans="1:22" ht="25.5" customHeight="1" x14ac:dyDescent="0.2">
      <c r="A43" s="34"/>
      <c r="B43" s="45" t="str">
        <f>VLOOKUP("&lt;Zeilentitel_7.9&gt;",Uebersetzungen!$B$3:$E$83,Uebersetzungen!$B$2+1,FALSE)</f>
        <v>Lernende in dualer beruflicher Grundbildung (Lehrlinge)</v>
      </c>
      <c r="C43" s="70">
        <v>3201.5321721395994</v>
      </c>
      <c r="D43" s="51">
        <v>20.317967540486357</v>
      </c>
      <c r="E43" s="74">
        <v>3201.5321721395994</v>
      </c>
      <c r="F43" s="54">
        <v>20.317967540486357</v>
      </c>
      <c r="G43" s="79">
        <v>2725.6601371310339</v>
      </c>
      <c r="H43" s="51">
        <v>21.977003201477039</v>
      </c>
      <c r="I43" s="80">
        <v>1164.247184793383</v>
      </c>
      <c r="J43" s="52">
        <v>34.38753387283078</v>
      </c>
      <c r="K43" s="79" t="s">
        <v>114</v>
      </c>
      <c r="L43" s="51" t="s">
        <v>114</v>
      </c>
      <c r="M43" s="79" t="s">
        <v>114</v>
      </c>
      <c r="N43" s="51" t="s">
        <v>114</v>
      </c>
      <c r="O43" s="80">
        <v>548.61832318074698</v>
      </c>
      <c r="P43" s="52">
        <v>48.38446325412189</v>
      </c>
      <c r="Q43" s="80">
        <v>508.2379352850063</v>
      </c>
      <c r="R43" s="52">
        <v>49.906904923480887</v>
      </c>
      <c r="S43" s="80">
        <v>482.48063858111436</v>
      </c>
      <c r="T43" s="52">
        <v>51.700279409354252</v>
      </c>
      <c r="U43" s="79" t="s">
        <v>114</v>
      </c>
      <c r="V43" s="47" t="s">
        <v>114</v>
      </c>
    </row>
    <row r="44" spans="1:22" ht="38.25" x14ac:dyDescent="0.2">
      <c r="A44" s="34"/>
      <c r="B44" s="45" t="str">
        <f>VLOOKUP("&lt;Zeilentitel_7.10&gt;",Uebersetzungen!$B$3:$E$83,Uebersetzungen!$B$2+1,FALSE)</f>
        <v>Nicht zuteilbare Erwerbstätige (fehlende oder unklare Basisdaten oder unplausible Kombination)</v>
      </c>
      <c r="C44" s="70">
        <v>2169.8068201438932</v>
      </c>
      <c r="D44" s="51">
        <v>25.542148859673862</v>
      </c>
      <c r="E44" s="74" t="s">
        <v>114</v>
      </c>
      <c r="F44" s="54" t="s">
        <v>114</v>
      </c>
      <c r="G44" s="79" t="s">
        <v>114</v>
      </c>
      <c r="H44" s="51" t="s">
        <v>114</v>
      </c>
      <c r="I44" s="79" t="s">
        <v>114</v>
      </c>
      <c r="J44" s="51" t="s">
        <v>114</v>
      </c>
      <c r="K44" s="79" t="s">
        <v>114</v>
      </c>
      <c r="L44" s="51" t="s">
        <v>114</v>
      </c>
      <c r="M44" s="79" t="s">
        <v>114</v>
      </c>
      <c r="N44" s="51" t="s">
        <v>114</v>
      </c>
      <c r="O44" s="79" t="s">
        <v>114</v>
      </c>
      <c r="P44" s="51" t="s">
        <v>114</v>
      </c>
      <c r="Q44" s="79" t="s">
        <v>114</v>
      </c>
      <c r="R44" s="51" t="s">
        <v>114</v>
      </c>
      <c r="S44" s="79" t="s">
        <v>114</v>
      </c>
      <c r="T44" s="51" t="s">
        <v>114</v>
      </c>
      <c r="U44" s="79" t="s">
        <v>114</v>
      </c>
      <c r="V44" s="47" t="s">
        <v>114</v>
      </c>
    </row>
    <row r="45" spans="1:22" x14ac:dyDescent="0.2">
      <c r="A45" s="34"/>
      <c r="B45" s="45" t="str">
        <f>VLOOKUP("&lt;Zeilentitel_7.11&gt;",Uebersetzungen!$B$3:$E$83,Uebersetzungen!$B$2+1,FALSE)</f>
        <v>Erwerbslose und Nichterwerbspersonen</v>
      </c>
      <c r="C45" s="70">
        <v>65470.394966079766</v>
      </c>
      <c r="D45" s="51">
        <v>3.4907975001965958</v>
      </c>
      <c r="E45" s="74">
        <v>8815.4488462660593</v>
      </c>
      <c r="F45" s="54">
        <v>12.163062143093118</v>
      </c>
      <c r="G45" s="79">
        <v>6999.2830444705323</v>
      </c>
      <c r="H45" s="51">
        <v>13.709570755704515</v>
      </c>
      <c r="I45" s="79">
        <v>5137.6555232023829</v>
      </c>
      <c r="J45" s="51">
        <v>16.125296559457141</v>
      </c>
      <c r="K45" s="80">
        <v>476.8297733270519</v>
      </c>
      <c r="L45" s="52">
        <v>53.834285767054105</v>
      </c>
      <c r="M45" s="80">
        <v>245.98742953675259</v>
      </c>
      <c r="N45" s="52">
        <v>73.291660539796567</v>
      </c>
      <c r="O45" s="80">
        <v>1466.4037852592037</v>
      </c>
      <c r="P45" s="52">
        <v>30.750618239474317</v>
      </c>
      <c r="Q45" s="80">
        <v>879.87444156307311</v>
      </c>
      <c r="R45" s="52">
        <v>38.68669308594076</v>
      </c>
      <c r="S45" s="79">
        <v>2114.6283772035622</v>
      </c>
      <c r="T45" s="51">
        <v>25.664377262846539</v>
      </c>
      <c r="U45" s="80">
        <v>233.06978594079436</v>
      </c>
      <c r="V45" s="48">
        <v>79.341106184876068</v>
      </c>
    </row>
    <row r="46" spans="1:22" ht="12.75" customHeight="1" x14ac:dyDescent="0.2">
      <c r="A46" s="30" t="str">
        <f>VLOOKUP("&lt;Zeilentitel_8&gt;",Uebersetzungen!$B$3:$E$83,Uebersetzungen!$B$2+1,FALSE)</f>
        <v>Höchste abgeschlossene Ausbildung</v>
      </c>
      <c r="B46" s="43" t="str">
        <f>VLOOKUP("&lt;Zeilentitel_8.1&gt;",Uebersetzungen!$B$3:$E$83,Uebersetzungen!$B$2+1,FALSE)</f>
        <v>Ohne nachobligatorische Aubildung</v>
      </c>
      <c r="C46" s="70">
        <v>35257.105825795763</v>
      </c>
      <c r="D46" s="51">
        <v>5.5602700259148854</v>
      </c>
      <c r="E46" s="74">
        <v>7775.4803296596292</v>
      </c>
      <c r="F46" s="54">
        <v>12.700651497361726</v>
      </c>
      <c r="G46" s="79">
        <v>6256.6414613226298</v>
      </c>
      <c r="H46" s="51">
        <v>14.187413380030762</v>
      </c>
      <c r="I46" s="79">
        <v>3708.3332910789245</v>
      </c>
      <c r="J46" s="51">
        <v>18.619669753056534</v>
      </c>
      <c r="K46" s="80">
        <v>211.50090159200889</v>
      </c>
      <c r="L46" s="52">
        <v>79.198281178035174</v>
      </c>
      <c r="M46" s="80">
        <v>270.05821672238665</v>
      </c>
      <c r="N46" s="52">
        <v>68.380254799206185</v>
      </c>
      <c r="O46" s="80">
        <v>1353.8572538534627</v>
      </c>
      <c r="P46" s="52">
        <v>31.012582845105371</v>
      </c>
      <c r="Q46" s="80">
        <v>1129.4755770064219</v>
      </c>
      <c r="R46" s="52">
        <v>33.603841834812457</v>
      </c>
      <c r="S46" s="80">
        <v>1343.1325075329767</v>
      </c>
      <c r="T46" s="52">
        <v>30.922279940707792</v>
      </c>
      <c r="U46" s="80">
        <v>305.60711272491494</v>
      </c>
      <c r="V46" s="48">
        <v>68.929298355073414</v>
      </c>
    </row>
    <row r="47" spans="1:22" x14ac:dyDescent="0.2">
      <c r="A47" s="34"/>
      <c r="B47" s="45" t="str">
        <f>VLOOKUP("&lt;Zeilentitel_8.2&gt;",Uebersetzungen!$B$3:$E$83,Uebersetzungen!$B$2+1,FALSE)</f>
        <v>Sekundarstufe II</v>
      </c>
      <c r="C47" s="70">
        <v>79770.079363931363</v>
      </c>
      <c r="D47" s="51">
        <v>3.0314707120835456</v>
      </c>
      <c r="E47" s="74">
        <v>5945.2896656641715</v>
      </c>
      <c r="F47" s="54">
        <v>15.161067704431201</v>
      </c>
      <c r="G47" s="79">
        <v>5299.8644001370103</v>
      </c>
      <c r="H47" s="51">
        <v>16.068458211519495</v>
      </c>
      <c r="I47" s="79">
        <v>3233.3322686045744</v>
      </c>
      <c r="J47" s="51">
        <v>20.779727143947795</v>
      </c>
      <c r="K47" s="80">
        <v>367.35975577426888</v>
      </c>
      <c r="L47" s="52">
        <v>61.14750780568361</v>
      </c>
      <c r="M47" s="79" t="s">
        <v>114</v>
      </c>
      <c r="N47" s="51" t="s">
        <v>114</v>
      </c>
      <c r="O47" s="80">
        <v>1079.3193856148478</v>
      </c>
      <c r="P47" s="52">
        <v>36.751647997878585</v>
      </c>
      <c r="Q47" s="80">
        <v>464.90097513339424</v>
      </c>
      <c r="R47" s="52">
        <v>53.628263201792905</v>
      </c>
      <c r="S47" s="80">
        <v>1089.2858572155269</v>
      </c>
      <c r="T47" s="52">
        <v>36.040525875978275</v>
      </c>
      <c r="U47" s="79" t="s">
        <v>114</v>
      </c>
      <c r="V47" s="47" t="s">
        <v>114</v>
      </c>
    </row>
    <row r="48" spans="1:22" ht="13.5" thickBot="1" x14ac:dyDescent="0.25">
      <c r="A48" s="35"/>
      <c r="B48" s="46" t="str">
        <f>VLOOKUP("&lt;Zeilentitel_8.3&gt;",Uebersetzungen!$B$3:$E$83,Uebersetzungen!$B$2+1,FALSE)</f>
        <v>Tertiärstufe</v>
      </c>
      <c r="C48" s="72">
        <v>57959.814810274111</v>
      </c>
      <c r="D48" s="53">
        <v>3.8600787798579197</v>
      </c>
      <c r="E48" s="77">
        <v>3081.6495560925614</v>
      </c>
      <c r="F48" s="57">
        <v>21.305906293817639</v>
      </c>
      <c r="G48" s="82">
        <v>2274.8310470447404</v>
      </c>
      <c r="H48" s="53">
        <v>24.722204503415586</v>
      </c>
      <c r="I48" s="83">
        <v>1285.5257106958613</v>
      </c>
      <c r="J48" s="59">
        <v>33.347779943220473</v>
      </c>
      <c r="K48" s="82" t="s">
        <v>114</v>
      </c>
      <c r="L48" s="53" t="s">
        <v>114</v>
      </c>
      <c r="M48" s="82" t="s">
        <v>114</v>
      </c>
      <c r="N48" s="53" t="s">
        <v>114</v>
      </c>
      <c r="O48" s="83">
        <v>401.19416871049293</v>
      </c>
      <c r="P48" s="59">
        <v>58.547337628692809</v>
      </c>
      <c r="Q48" s="82" t="s">
        <v>114</v>
      </c>
      <c r="R48" s="53" t="s">
        <v>114</v>
      </c>
      <c r="S48" s="83">
        <v>995.81271552277315</v>
      </c>
      <c r="T48" s="59">
        <v>38.10845948178153</v>
      </c>
      <c r="U48" s="82" t="s">
        <v>114</v>
      </c>
      <c r="V48" s="92" t="s">
        <v>114</v>
      </c>
    </row>
    <row r="49" spans="1:22" x14ac:dyDescent="0.2">
      <c r="A49" s="25"/>
      <c r="B49" s="18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6"/>
      <c r="T49" s="27"/>
      <c r="U49" s="28"/>
      <c r="V49" s="27"/>
    </row>
    <row r="50" spans="1:22" x14ac:dyDescent="0.2">
      <c r="A50" s="13" t="str">
        <f>VLOOKUP("&lt;Legende_1&gt;",Uebersetzungen!$B$3:$E$72,Uebersetzungen!$B$2+1,FALSE)</f>
        <v>Die Befragten konnten mehrere Hauptsprachen nennen.</v>
      </c>
    </row>
    <row r="51" spans="1:22" x14ac:dyDescent="0.2">
      <c r="A51" s="13" t="str">
        <f>VLOOKUP("&lt;Legende_2&gt;",Uebersetzungen!$B$3:$E$72,Uebersetzungen!$B$2+1,FALSE)</f>
        <v>(): Extrapolation aufgrund von 49 oder weniger Beobachtungen. Die Resultate sind mit grosser Vorsicht zu interpretieren.</v>
      </c>
    </row>
    <row r="52" spans="1:22" x14ac:dyDescent="0.2">
      <c r="A52" s="13" t="str">
        <f>VLOOKUP("&lt;Legende_3&gt;",Uebersetzungen!$B$3:$E$72,Uebersetzungen!$B$2+1,FALSE)</f>
        <v>X: Extrapolation aufgrund von 4 oder weniger Beobachtungen. Die Resultate werden aus Gründen des Datenschutzes nicht publiziert.</v>
      </c>
    </row>
    <row r="53" spans="1:22" x14ac:dyDescent="0.2">
      <c r="A53" s="13" t="str">
        <f>VLOOKUP("&lt;Legende_4&gt;",Uebersetzungen!$B$3:$E$72,Uebersetzungen!$B$2+1,FALSE)</f>
        <v>Die Grundgesamtheit der Strukturerhebung enthält alle Personen der ständigen Wohnbevölkerung ab vollendetem 15. Altersjahr, die in Privathaushalten leben.</v>
      </c>
    </row>
    <row r="54" spans="1:22" x14ac:dyDescent="0.2">
      <c r="A54" s="41" t="str">
        <f>VLOOKUP("&lt;Legende_5&gt;",Uebersetzungen!$B$3:$E$72,Uebersetzungen!$B$2+1,FALSE)</f>
        <v>Aus der Grundgesamtheit ausgeschlossen wurden neben den Personen, die in Kollektivhaushalten leben, auch Diplomaten, internationale Funktionäre und deren Angehörige.</v>
      </c>
    </row>
    <row r="55" spans="1:22" x14ac:dyDescent="0.2">
      <c r="A55" s="7"/>
    </row>
    <row r="56" spans="1:22" x14ac:dyDescent="0.2">
      <c r="A56" s="7" t="str">
        <f>VLOOKUP("&lt;Quelle_1&gt;",Uebersetzungen!$B$3:$E$83,Uebersetzungen!$B$2+1,FALSE)</f>
        <v>Quelle: BFS (Strukturerhebung)</v>
      </c>
    </row>
    <row r="57" spans="1:22" x14ac:dyDescent="0.2">
      <c r="A57" s="6" t="str">
        <f>VLOOKUP("&lt;Aktualisierung&gt;",Uebersetzungen!$B$3:$E$83,Uebersetzungen!$B$2+1,FALSE)</f>
        <v>Letztmals aktualisiert am: 18.03.2024</v>
      </c>
    </row>
    <row r="58" spans="1:22" x14ac:dyDescent="0.2">
      <c r="B58" s="9"/>
      <c r="T58" s="9"/>
    </row>
    <row r="60" spans="1:22" x14ac:dyDescent="0.2">
      <c r="B60" s="10"/>
      <c r="T60" s="10"/>
    </row>
    <row r="61" spans="1:22" x14ac:dyDescent="0.2">
      <c r="T61" s="9"/>
      <c r="U61" s="9"/>
      <c r="V61" s="9"/>
    </row>
  </sheetData>
  <sheetProtection sheet="1" objects="1" scenarios="1"/>
  <mergeCells count="13">
    <mergeCell ref="Q13:R13"/>
    <mergeCell ref="S13:T13"/>
    <mergeCell ref="U13:V13"/>
    <mergeCell ref="A7:D7"/>
    <mergeCell ref="C12:V12"/>
    <mergeCell ref="B13:B14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28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123825</xdr:rowOff>
                  </from>
                  <to>
                    <xdr:col>4</xdr:col>
                    <xdr:colOff>609600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2</xdr:row>
                    <xdr:rowOff>114300</xdr:rowOff>
                  </from>
                  <to>
                    <xdr:col>5</xdr:col>
                    <xdr:colOff>276225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76200</xdr:rowOff>
                  </from>
                  <to>
                    <xdr:col>4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showGridLines="0" zoomScaleNormal="100" workbookViewId="0"/>
  </sheetViews>
  <sheetFormatPr baseColWidth="10" defaultRowHeight="12.75" x14ac:dyDescent="0.2"/>
  <cols>
    <col min="1" max="1" width="29.75" style="6" customWidth="1"/>
    <col min="2" max="2" width="33.25" style="6" customWidth="1"/>
    <col min="3" max="20" width="9.5" style="6" customWidth="1"/>
    <col min="21" max="16384" width="11" style="6"/>
  </cols>
  <sheetData>
    <row r="1" spans="1:21" s="1" customFormat="1" x14ac:dyDescent="0.2"/>
    <row r="2" spans="1:21" s="1" customFormat="1" ht="15.75" x14ac:dyDescent="0.25"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1" s="1" customFormat="1" ht="15.75" x14ac:dyDescent="0.25"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1" s="1" customFormat="1" ht="15.75" x14ac:dyDescent="0.25"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1" s="1" customFormat="1" x14ac:dyDescent="0.2"/>
    <row r="6" spans="1:21" s="1" customFormat="1" x14ac:dyDescent="0.2"/>
    <row r="7" spans="1:21" s="1" customFormat="1" ht="15.75" customHeight="1" x14ac:dyDescent="0.2">
      <c r="A7" s="93" t="str">
        <f>VLOOKUP("&lt;Fachbereich&gt;",Uebersetzungen!$B$3:$E$63,Uebersetzungen!$B$2+1,FALSE)</f>
        <v>Daten &amp; Statistik</v>
      </c>
      <c r="B7" s="93"/>
      <c r="C7" s="93"/>
      <c r="D7" s="9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2"/>
      <c r="R7" s="12"/>
      <c r="S7" s="12"/>
      <c r="T7" s="12"/>
      <c r="U7" s="12"/>
    </row>
    <row r="8" spans="1:21" s="1" customFormat="1" x14ac:dyDescent="0.2"/>
    <row r="9" spans="1:21" ht="18" x14ac:dyDescent="0.2">
      <c r="A9" s="3" t="str">
        <f>VLOOKUP("&lt;T3Titel&gt;",Uebersetzungen!$B$3:$E$86,Uebersetzungen!$B$2+1,FALSE)</f>
        <v>Zu Hause gesprochene Sprachen im Kanton Graubünden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x14ac:dyDescent="0.2">
      <c r="A10" s="7" t="str">
        <f>VLOOKUP("&lt;T3UTitel&gt;",Uebersetzungen!$B$3:$E$86,Uebersetzungen!$B$2+1,FALSE)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1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1" ht="18" x14ac:dyDescent="0.25">
      <c r="A12" s="8"/>
      <c r="B12" s="8"/>
      <c r="C12" s="99">
        <v>2022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</row>
    <row r="13" spans="1:21" ht="37.5" customHeight="1" x14ac:dyDescent="0.2">
      <c r="B13" s="94"/>
      <c r="C13" s="96" t="str">
        <f>VLOOKUP("&lt;SpaltenTitel_1&gt;",Uebersetzungen!$B$3:$E$63,Uebersetzungen!$B$2+1,FALSE)</f>
        <v>Total Bevölkerung</v>
      </c>
      <c r="D13" s="97"/>
      <c r="E13" s="97" t="str">
        <f>VLOOKUP("&lt;SpaltenTitel_3&gt;",Uebersetzungen!$B$3:$E$63,Uebersetzungen!$B$2+1,FALSE)</f>
        <v>Schweizerdeutsch</v>
      </c>
      <c r="F13" s="97"/>
      <c r="G13" s="97" t="str">
        <f>VLOOKUP("&lt;SpaltenTitel_4&gt;",Uebersetzungen!$B$3:$E$63,Uebersetzungen!$B$2+1,FALSE)</f>
        <v>Deutsch</v>
      </c>
      <c r="H13" s="97"/>
      <c r="I13" s="97" t="str">
        <f>VLOOKUP("&lt;SpaltenTitel_5&gt;",Uebersetzungen!$B$3:$E$63,Uebersetzungen!$B$2+1,FALSE)</f>
        <v>Französisch</v>
      </c>
      <c r="J13" s="97"/>
      <c r="K13" s="102" t="str">
        <f>VLOOKUP("&lt;SpaltenTitel_6&gt;",Uebersetzungen!$B$3:$E$63,Uebersetzungen!$B$2+1,FALSE)</f>
        <v>Tessiner/Bündner-italienischer Dialekt</v>
      </c>
      <c r="L13" s="103"/>
      <c r="M13" s="102" t="str">
        <f>VLOOKUP("&lt;SpaltenTitel_7&gt;",Uebersetzungen!$B$3:$E$63,Uebersetzungen!$B$2+1,FALSE)</f>
        <v>Italienisch</v>
      </c>
      <c r="N13" s="103"/>
      <c r="O13" s="102" t="str">
        <f>VLOOKUP("&lt;SpaltenTitel_8&gt;",Uebersetzungen!$B$3:$E$63,Uebersetzungen!$B$2+1,FALSE)</f>
        <v>Rätoromanisch</v>
      </c>
      <c r="P13" s="103"/>
      <c r="Q13" s="97" t="str">
        <f>VLOOKUP("&lt;SpaltenTitel_9&gt;",Uebersetzungen!$B$3:$E$63,Uebersetzungen!$B$2+1,FALSE)</f>
        <v>Englisch</v>
      </c>
      <c r="R13" s="97"/>
      <c r="S13" s="97" t="str">
        <f>VLOOKUP("&lt;SpaltenTitel_10&gt;",Uebersetzungen!$B$3:$E$63,Uebersetzungen!$B$2+1,FALSE)</f>
        <v>Andere Sprache/n</v>
      </c>
      <c r="T13" s="98"/>
    </row>
    <row r="14" spans="1:21" ht="39" thickBot="1" x14ac:dyDescent="0.25">
      <c r="B14" s="95"/>
      <c r="C14" s="63" t="str">
        <f>VLOOKUP("&lt;SpaltenTitel_1.1&gt;",Uebersetzungen!$B$3:$E$63,Uebersetzungen!$B$2+1,FALSE)</f>
        <v>Anzahl Personen</v>
      </c>
      <c r="D14" s="64" t="str">
        <f>VLOOKUP("&lt;SpaltenTitel_1.2&gt;",Uebersetzungen!$B$3:$E$63,Uebersetzungen!$B$2+1,FALSE)</f>
        <v>Vertrauens- intervall: 
± (in %)</v>
      </c>
      <c r="E14" s="65" t="str">
        <f>VLOOKUP("&lt;SpaltenTitel_1.1&gt;",Uebersetzungen!$B$3:$E$63,Uebersetzungen!$B$2+1,FALSE)</f>
        <v>Anzahl Personen</v>
      </c>
      <c r="F14" s="64" t="str">
        <f>VLOOKUP("&lt;SpaltenTitel_1.2&gt;",Uebersetzungen!$B$3:$E$63,Uebersetzungen!$B$2+1,FALSE)</f>
        <v>Vertrauens- intervall: 
± (in %)</v>
      </c>
      <c r="G14" s="65" t="str">
        <f>VLOOKUP("&lt;SpaltenTitel_1.1&gt;",Uebersetzungen!$B$3:$E$63,Uebersetzungen!$B$2+1,FALSE)</f>
        <v>Anzahl Personen</v>
      </c>
      <c r="H14" s="64" t="str">
        <f>VLOOKUP("&lt;SpaltenTitel_1.2&gt;",Uebersetzungen!$B$3:$E$63,Uebersetzungen!$B$2+1,FALSE)</f>
        <v>Vertrauens- intervall: 
± (in %)</v>
      </c>
      <c r="I14" s="65" t="str">
        <f>VLOOKUP("&lt;SpaltenTitel_1.1&gt;",Uebersetzungen!$B$3:$E$63,Uebersetzungen!$B$2+1,FALSE)</f>
        <v>Anzahl Personen</v>
      </c>
      <c r="J14" s="64" t="str">
        <f>VLOOKUP("&lt;SpaltenTitel_1.2&gt;",Uebersetzungen!$B$3:$E$63,Uebersetzungen!$B$2+1,FALSE)</f>
        <v>Vertrauens- intervall: 
± (in %)</v>
      </c>
      <c r="K14" s="65" t="str">
        <f>VLOOKUP("&lt;SpaltenTitel_1.1&gt;",Uebersetzungen!$B$3:$E$63,Uebersetzungen!$B$2+1,FALSE)</f>
        <v>Anzahl Personen</v>
      </c>
      <c r="L14" s="64" t="str">
        <f>VLOOKUP("&lt;SpaltenTitel_1.2&gt;",Uebersetzungen!$B$3:$E$63,Uebersetzungen!$B$2+1,FALSE)</f>
        <v>Vertrauens- intervall: 
± (in %)</v>
      </c>
      <c r="M14" s="65" t="str">
        <f>VLOOKUP("&lt;SpaltenTitel_1.1&gt;",Uebersetzungen!$B$3:$E$63,Uebersetzungen!$B$2+1,FALSE)</f>
        <v>Anzahl Personen</v>
      </c>
      <c r="N14" s="64" t="str">
        <f>VLOOKUP("&lt;SpaltenTitel_1.2&gt;",Uebersetzungen!$B$3:$E$63,Uebersetzungen!$B$2+1,FALSE)</f>
        <v>Vertrauens- intervall: 
± (in %)</v>
      </c>
      <c r="O14" s="65" t="str">
        <f>VLOOKUP("&lt;SpaltenTitel_1.1&gt;",Uebersetzungen!$B$3:$E$63,Uebersetzungen!$B$2+1,FALSE)</f>
        <v>Anzahl Personen</v>
      </c>
      <c r="P14" s="64" t="str">
        <f>VLOOKUP("&lt;SpaltenTitel_1.2&gt;",Uebersetzungen!$B$3:$E$63,Uebersetzungen!$B$2+1,FALSE)</f>
        <v>Vertrauens- intervall: 
± (in %)</v>
      </c>
      <c r="Q14" s="66" t="str">
        <f>VLOOKUP("&lt;SpaltenTitel_1.1&gt;",Uebersetzungen!$B$3:$E$63,Uebersetzungen!$B$2+1,FALSE)</f>
        <v>Anzahl Personen</v>
      </c>
      <c r="R14" s="64" t="str">
        <f>VLOOKUP("&lt;SpaltenTitel_1.2&gt;",Uebersetzungen!$B$3:$E$63,Uebersetzungen!$B$2+1,FALSE)</f>
        <v>Vertrauens- intervall: 
± (in %)</v>
      </c>
      <c r="S14" s="67" t="str">
        <f>VLOOKUP("&lt;SpaltenTitel_1.1&gt;",Uebersetzungen!$B$3:$E$63,Uebersetzungen!$B$2+1,FALSE)</f>
        <v>Anzahl Personen</v>
      </c>
      <c r="T14" s="68" t="str">
        <f>VLOOKUP("&lt;SpaltenTitel_1.2&gt;",Uebersetzungen!$B$3:$E$63,Uebersetzungen!$B$2+1,FALSE)</f>
        <v>Vertrauens- intervall: 
± (in %)</v>
      </c>
    </row>
    <row r="15" spans="1:21" ht="14.25" customHeight="1" x14ac:dyDescent="0.2">
      <c r="A15" s="29" t="str">
        <f>VLOOKUP("&lt;Zeilentitel_1&gt;",Uebersetzungen!$B$3:$E$83,Uebersetzungen!$B$2+1,FALSE)</f>
        <v>Total</v>
      </c>
      <c r="B15" s="42"/>
      <c r="C15" s="69">
        <v>172987.00000000114</v>
      </c>
      <c r="D15" s="86">
        <v>0.30992133630712848</v>
      </c>
      <c r="E15" s="78">
        <v>119342.13290105815</v>
      </c>
      <c r="F15" s="86">
        <v>1.8254164109969551</v>
      </c>
      <c r="G15" s="78">
        <v>18950.168603195983</v>
      </c>
      <c r="H15" s="86">
        <v>8.1004531465400795</v>
      </c>
      <c r="I15" s="78">
        <v>1747.7396775404586</v>
      </c>
      <c r="J15" s="86">
        <v>27.302921565559785</v>
      </c>
      <c r="K15" s="78">
        <v>9405.8166038074123</v>
      </c>
      <c r="L15" s="86">
        <v>11.481852121584652</v>
      </c>
      <c r="M15" s="78">
        <v>17061.269065299504</v>
      </c>
      <c r="N15" s="86">
        <v>8.5099009237564136</v>
      </c>
      <c r="O15" s="78">
        <v>25242.467526453551</v>
      </c>
      <c r="P15" s="86">
        <v>6.5981311268385205</v>
      </c>
      <c r="Q15" s="78">
        <v>6003.2314440230284</v>
      </c>
      <c r="R15" s="86">
        <v>14.962590661833152</v>
      </c>
      <c r="S15" s="78">
        <v>23224.512446499211</v>
      </c>
      <c r="T15" s="62">
        <v>7.5103476289873763</v>
      </c>
    </row>
    <row r="16" spans="1:21" x14ac:dyDescent="0.2">
      <c r="A16" s="30" t="str">
        <f>VLOOKUP("&lt;Zeilentitel_2&gt;",Uebersetzungen!$B$3:$E$83,Uebersetzungen!$B$2+1,FALSE)</f>
        <v>Geschlecht</v>
      </c>
      <c r="B16" s="43" t="str">
        <f>VLOOKUP("&lt;Zeilentitel_2.1&gt;",Uebersetzungen!$B$3:$E$83,Uebersetzungen!$B$2+1,FALSE)</f>
        <v>Männer</v>
      </c>
      <c r="C16" s="70">
        <v>86763.000000001208</v>
      </c>
      <c r="D16" s="51">
        <v>2.8238600372240734</v>
      </c>
      <c r="E16" s="79">
        <v>58749.158777348333</v>
      </c>
      <c r="F16" s="51">
        <v>3.8536489950201669</v>
      </c>
      <c r="G16" s="79">
        <v>10133.097299593008</v>
      </c>
      <c r="H16" s="51">
        <v>11.562954097012453</v>
      </c>
      <c r="I16" s="80">
        <v>878.00012300912135</v>
      </c>
      <c r="J16" s="52">
        <v>38.795682214218225</v>
      </c>
      <c r="K16" s="79">
        <v>4792.3698315822621</v>
      </c>
      <c r="L16" s="51">
        <v>16.361040334485562</v>
      </c>
      <c r="M16" s="79">
        <v>8967.6002266558917</v>
      </c>
      <c r="N16" s="51">
        <v>12.173999831726416</v>
      </c>
      <c r="O16" s="79">
        <v>12943.849391670341</v>
      </c>
      <c r="P16" s="51">
        <v>9.6406806079534135</v>
      </c>
      <c r="Q16" s="79">
        <v>3372.5200164719258</v>
      </c>
      <c r="R16" s="51">
        <v>20.214979347745491</v>
      </c>
      <c r="S16" s="79">
        <v>12016.455404026989</v>
      </c>
      <c r="T16" s="47">
        <v>10.954877177069385</v>
      </c>
    </row>
    <row r="17" spans="1:20" x14ac:dyDescent="0.2">
      <c r="A17" s="31"/>
      <c r="B17" s="44" t="str">
        <f>VLOOKUP("&lt;Zeilentitel_2.2&gt;",Uebersetzungen!$B$3:$E$83,Uebersetzungen!$B$2+1,FALSE)</f>
        <v>Frauen</v>
      </c>
      <c r="C17" s="70">
        <v>86223.999999999927</v>
      </c>
      <c r="D17" s="51">
        <v>2.7581960888754864</v>
      </c>
      <c r="E17" s="79">
        <v>60592.974123709813</v>
      </c>
      <c r="F17" s="51">
        <v>3.701781990303306</v>
      </c>
      <c r="G17" s="79">
        <v>8817.0713036029756</v>
      </c>
      <c r="H17" s="51">
        <v>11.999296643584374</v>
      </c>
      <c r="I17" s="80">
        <v>869.73955453133738</v>
      </c>
      <c r="J17" s="52">
        <v>38.622523841768384</v>
      </c>
      <c r="K17" s="79">
        <v>4613.4467722251511</v>
      </c>
      <c r="L17" s="51">
        <v>16.580766311625009</v>
      </c>
      <c r="M17" s="79">
        <v>8093.6688386436126</v>
      </c>
      <c r="N17" s="51">
        <v>12.517891430890277</v>
      </c>
      <c r="O17" s="79">
        <v>12298.61813478321</v>
      </c>
      <c r="P17" s="51">
        <v>9.8205984085782934</v>
      </c>
      <c r="Q17" s="79">
        <v>2630.7114275511026</v>
      </c>
      <c r="R17" s="51">
        <v>22.665486148827657</v>
      </c>
      <c r="S17" s="79">
        <v>11208.057042472223</v>
      </c>
      <c r="T17" s="47">
        <v>10.979033804597776</v>
      </c>
    </row>
    <row r="18" spans="1:20" x14ac:dyDescent="0.2">
      <c r="A18" s="32" t="str">
        <f>VLOOKUP("&lt;Zeilentitel_3&gt;",Uebersetzungen!$B$3:$E$83,Uebersetzungen!$B$2+1,FALSE)</f>
        <v>Alter</v>
      </c>
      <c r="B18" s="25" t="str">
        <f>VLOOKUP("&lt;Zeilentitel_3.1&gt;",Uebersetzungen!$B$3:$E$83,Uebersetzungen!$B$2+1,FALSE)</f>
        <v>15-24</v>
      </c>
      <c r="C18" s="70">
        <v>18891.000000000175</v>
      </c>
      <c r="D18" s="51">
        <v>8.1326481053992357</v>
      </c>
      <c r="E18" s="79">
        <v>13414.61772307154</v>
      </c>
      <c r="F18" s="51">
        <v>9.6508047653715199</v>
      </c>
      <c r="G18" s="79">
        <v>2029.4628059294146</v>
      </c>
      <c r="H18" s="51">
        <v>26.891750956706314</v>
      </c>
      <c r="I18" s="79" t="s">
        <v>114</v>
      </c>
      <c r="J18" s="51" t="s">
        <v>114</v>
      </c>
      <c r="K18" s="80">
        <v>1181.673497858435</v>
      </c>
      <c r="L18" s="52">
        <v>33.722890778900982</v>
      </c>
      <c r="M18" s="79">
        <v>1972.3198660684898</v>
      </c>
      <c r="N18" s="51">
        <v>26.965654003291089</v>
      </c>
      <c r="O18" s="79">
        <v>2771.7922893560249</v>
      </c>
      <c r="P18" s="51">
        <v>21.656286426081714</v>
      </c>
      <c r="Q18" s="80">
        <v>924.25842091054028</v>
      </c>
      <c r="R18" s="52">
        <v>38.826792153611869</v>
      </c>
      <c r="S18" s="79">
        <v>3661.9911990300238</v>
      </c>
      <c r="T18" s="47">
        <v>20.69793060591228</v>
      </c>
    </row>
    <row r="19" spans="1:20" x14ac:dyDescent="0.2">
      <c r="A19" s="33"/>
      <c r="B19" s="45" t="str">
        <f>VLOOKUP("&lt;Zeilentitel_3.2&gt;",Uebersetzungen!$B$3:$E$83,Uebersetzungen!$B$2+1,FALSE)</f>
        <v>25-44</v>
      </c>
      <c r="C19" s="70">
        <v>50864.000000000393</v>
      </c>
      <c r="D19" s="51">
        <v>4.4311277725070441</v>
      </c>
      <c r="E19" s="79">
        <v>33440.287021383956</v>
      </c>
      <c r="F19" s="51">
        <v>5.7377638599330423</v>
      </c>
      <c r="G19" s="79">
        <v>7515.6316512885924</v>
      </c>
      <c r="H19" s="51">
        <v>13.477348987724675</v>
      </c>
      <c r="I19" s="80">
        <v>576.67891852755577</v>
      </c>
      <c r="J19" s="52">
        <v>48.523981956799815</v>
      </c>
      <c r="K19" s="79">
        <v>2592.772257517579</v>
      </c>
      <c r="L19" s="51">
        <v>22.704580550436802</v>
      </c>
      <c r="M19" s="79">
        <v>5939.041027008403</v>
      </c>
      <c r="N19" s="51">
        <v>15.043211419398624</v>
      </c>
      <c r="O19" s="79">
        <v>7226.1332544215757</v>
      </c>
      <c r="P19" s="51">
        <v>13.343060099501329</v>
      </c>
      <c r="Q19" s="79">
        <v>2490.9574315823211</v>
      </c>
      <c r="R19" s="51">
        <v>23.691745943229424</v>
      </c>
      <c r="S19" s="79">
        <v>9764.1192777619417</v>
      </c>
      <c r="T19" s="47">
        <v>12.065204882819415</v>
      </c>
    </row>
    <row r="20" spans="1:20" x14ac:dyDescent="0.2">
      <c r="A20" s="34"/>
      <c r="B20" s="45" t="str">
        <f>VLOOKUP("&lt;Zeilentitel_3.3&gt;",Uebersetzungen!$B$3:$E$83,Uebersetzungen!$B$2+1,FALSE)</f>
        <v>45-64</v>
      </c>
      <c r="C20" s="70">
        <v>59080.000000000189</v>
      </c>
      <c r="D20" s="51">
        <v>3.8848078343530807</v>
      </c>
      <c r="E20" s="79">
        <v>38768.091990409506</v>
      </c>
      <c r="F20" s="51">
        <v>5.133893252111652</v>
      </c>
      <c r="G20" s="79">
        <v>6481.2949853738473</v>
      </c>
      <c r="H20" s="51">
        <v>14.297817146852495</v>
      </c>
      <c r="I20" s="80">
        <v>564.15827528591558</v>
      </c>
      <c r="J20" s="52">
        <v>48.354776991600616</v>
      </c>
      <c r="K20" s="79">
        <v>2963.9560422799018</v>
      </c>
      <c r="L20" s="51">
        <v>20.976564667480847</v>
      </c>
      <c r="M20" s="79">
        <v>5945.5062452582324</v>
      </c>
      <c r="N20" s="51">
        <v>14.953577514354567</v>
      </c>
      <c r="O20" s="79">
        <v>7838.7942094181708</v>
      </c>
      <c r="P20" s="51">
        <v>12.579650134388508</v>
      </c>
      <c r="Q20" s="80">
        <v>1654.4229417588069</v>
      </c>
      <c r="R20" s="52">
        <v>29.163673953712699</v>
      </c>
      <c r="S20" s="79">
        <v>8080.0792094396229</v>
      </c>
      <c r="T20" s="47">
        <v>13.152462238818302</v>
      </c>
    </row>
    <row r="21" spans="1:20" x14ac:dyDescent="0.2">
      <c r="A21" s="34"/>
      <c r="B21" s="45" t="str">
        <f>VLOOKUP("&lt;Zeilentitel_3.4&gt;",Uebersetzungen!$B$3:$E$83,Uebersetzungen!$B$2+1,FALSE)</f>
        <v>65 und älter</v>
      </c>
      <c r="C21" s="70">
        <v>44152.000000000502</v>
      </c>
      <c r="D21" s="51">
        <v>4.5017942121198447</v>
      </c>
      <c r="E21" s="79">
        <v>33719.136166193406</v>
      </c>
      <c r="F21" s="51">
        <v>5.3533391391605214</v>
      </c>
      <c r="G21" s="79">
        <v>2923.7791606041274</v>
      </c>
      <c r="H21" s="51">
        <v>20.585258404932333</v>
      </c>
      <c r="I21" s="80">
        <v>499.74818525292085</v>
      </c>
      <c r="J21" s="52">
        <v>49.934075410821492</v>
      </c>
      <c r="K21" s="79">
        <v>2667.4148061514979</v>
      </c>
      <c r="L21" s="51">
        <v>21.319793278722145</v>
      </c>
      <c r="M21" s="79">
        <v>3204.401926964375</v>
      </c>
      <c r="N21" s="51">
        <v>19.570983076785705</v>
      </c>
      <c r="O21" s="79">
        <v>7405.7477732577827</v>
      </c>
      <c r="P21" s="51">
        <v>12.536701792754913</v>
      </c>
      <c r="Q21" s="80">
        <v>933.59264977136115</v>
      </c>
      <c r="R21" s="52">
        <v>36.522159918404498</v>
      </c>
      <c r="S21" s="80">
        <v>1718.3227602676334</v>
      </c>
      <c r="T21" s="48">
        <v>27.671050700305454</v>
      </c>
    </row>
    <row r="22" spans="1:20" x14ac:dyDescent="0.2">
      <c r="A22" s="30" t="str">
        <f>VLOOKUP("&lt;Zeilentitel_4&gt;",Uebersetzungen!$B$3:$E$83,Uebersetzungen!$B$2+1,FALSE)</f>
        <v>Staatsangehörigkeit</v>
      </c>
      <c r="B22" s="43" t="str">
        <f>VLOOKUP("&lt;Zeilentitel_4.1&gt;",Uebersetzungen!$B$3:$E$83,Uebersetzungen!$B$2+1,FALSE)</f>
        <v>Schweiz</v>
      </c>
      <c r="C22" s="70">
        <v>139204.00000000111</v>
      </c>
      <c r="D22" s="51">
        <v>1.2994587979741978</v>
      </c>
      <c r="E22" s="79">
        <v>111289.82946181115</v>
      </c>
      <c r="F22" s="51">
        <v>2.0039444038566203</v>
      </c>
      <c r="G22" s="79">
        <v>7737.7109933114079</v>
      </c>
      <c r="H22" s="51">
        <v>12.664958520573601</v>
      </c>
      <c r="I22" s="80">
        <v>1350.2080927238476</v>
      </c>
      <c r="J22" s="52">
        <v>30.95398915708477</v>
      </c>
      <c r="K22" s="79">
        <v>8889.2447203792708</v>
      </c>
      <c r="L22" s="51">
        <v>11.773207007888384</v>
      </c>
      <c r="M22" s="79">
        <v>10033.182542600016</v>
      </c>
      <c r="N22" s="51">
        <v>11.033601786515497</v>
      </c>
      <c r="O22" s="79">
        <v>24966.951274976887</v>
      </c>
      <c r="P22" s="51">
        <v>6.6332260699446657</v>
      </c>
      <c r="Q22" s="79">
        <v>3168.6807755551599</v>
      </c>
      <c r="R22" s="51">
        <v>20.125071183306254</v>
      </c>
      <c r="S22" s="79">
        <v>6751.9002311959766</v>
      </c>
      <c r="T22" s="47">
        <v>13.759388055709517</v>
      </c>
    </row>
    <row r="23" spans="1:20" x14ac:dyDescent="0.2">
      <c r="A23" s="32"/>
      <c r="B23" s="45" t="str">
        <f>VLOOKUP("&lt;Zeilentitel_4.2&gt;",Uebersetzungen!$B$3:$E$83,Uebersetzungen!$B$2+1,FALSE)</f>
        <v>EU und EFTA</v>
      </c>
      <c r="C23" s="70">
        <v>27064.983765801488</v>
      </c>
      <c r="D23" s="51">
        <v>6.8207002529804068</v>
      </c>
      <c r="E23" s="79">
        <v>6536.8527271189869</v>
      </c>
      <c r="F23" s="51">
        <v>14.573585504848138</v>
      </c>
      <c r="G23" s="79">
        <v>9296.5046644315153</v>
      </c>
      <c r="H23" s="51">
        <v>12.069103496616776</v>
      </c>
      <c r="I23" s="80">
        <v>363.48464842671478</v>
      </c>
      <c r="J23" s="52">
        <v>61.23148065619629</v>
      </c>
      <c r="K23" s="80">
        <v>479.86393682669336</v>
      </c>
      <c r="L23" s="52">
        <v>56.3160628679232</v>
      </c>
      <c r="M23" s="79">
        <v>6672.1459900634391</v>
      </c>
      <c r="N23" s="51">
        <v>14.524078801782846</v>
      </c>
      <c r="O23" s="80">
        <v>241.46931508674356</v>
      </c>
      <c r="P23" s="52">
        <v>80.111720410988596</v>
      </c>
      <c r="Q23" s="80">
        <v>1797.369312580978</v>
      </c>
      <c r="R23" s="52">
        <v>28.354528025682622</v>
      </c>
      <c r="S23" s="79">
        <v>11253.054564050053</v>
      </c>
      <c r="T23" s="47">
        <v>11.299330528657563</v>
      </c>
    </row>
    <row r="24" spans="1:20" x14ac:dyDescent="0.2">
      <c r="A24" s="32"/>
      <c r="B24" s="45" t="str">
        <f>VLOOKUP("&lt;Zeilentitel_4.3&gt;",Uebersetzungen!$B$3:$E$83,Uebersetzungen!$B$2+1,FALSE)</f>
        <v>Anderer europäischer Staat</v>
      </c>
      <c r="C24" s="70">
        <v>3125.918260586051</v>
      </c>
      <c r="D24" s="51">
        <v>22.433578658784249</v>
      </c>
      <c r="E24" s="80">
        <v>936.82168370733893</v>
      </c>
      <c r="F24" s="52">
        <v>40.60620516915229</v>
      </c>
      <c r="G24" s="80">
        <v>638.7890597746291</v>
      </c>
      <c r="H24" s="52">
        <v>48.670526891513191</v>
      </c>
      <c r="I24" s="79" t="s">
        <v>114</v>
      </c>
      <c r="J24" s="51" t="s">
        <v>114</v>
      </c>
      <c r="K24" s="79" t="s">
        <v>114</v>
      </c>
      <c r="L24" s="51" t="s">
        <v>114</v>
      </c>
      <c r="M24" s="79" t="s">
        <v>114</v>
      </c>
      <c r="N24" s="51" t="s">
        <v>114</v>
      </c>
      <c r="O24" s="79" t="s">
        <v>114</v>
      </c>
      <c r="P24" s="51" t="s">
        <v>114</v>
      </c>
      <c r="Q24" s="80">
        <v>286.51989266296505</v>
      </c>
      <c r="R24" s="52">
        <v>73.13271987113859</v>
      </c>
      <c r="S24" s="79">
        <v>2502.020868324264</v>
      </c>
      <c r="T24" s="47">
        <v>25.159410730212663</v>
      </c>
    </row>
    <row r="25" spans="1:20" x14ac:dyDescent="0.2">
      <c r="A25" s="32"/>
      <c r="B25" s="45" t="str">
        <f>VLOOKUP("&lt;Zeilentitel_4.4&gt;",Uebersetzungen!$B$3:$E$83,Uebersetzungen!$B$2+1,FALSE)</f>
        <v>Andere Staaten</v>
      </c>
      <c r="C25" s="70">
        <v>3592.0979736129125</v>
      </c>
      <c r="D25" s="51">
        <v>20.785204303073488</v>
      </c>
      <c r="E25" s="80">
        <v>578.62902842070014</v>
      </c>
      <c r="F25" s="52">
        <v>54.064565108465573</v>
      </c>
      <c r="G25" s="80">
        <v>1277.1638856784266</v>
      </c>
      <c r="H25" s="52">
        <v>35.073436450796905</v>
      </c>
      <c r="I25" s="79" t="s">
        <v>114</v>
      </c>
      <c r="J25" s="51" t="s">
        <v>114</v>
      </c>
      <c r="K25" s="79" t="s">
        <v>114</v>
      </c>
      <c r="L25" s="51" t="s">
        <v>114</v>
      </c>
      <c r="M25" s="80">
        <v>182.29366572513891</v>
      </c>
      <c r="N25" s="52">
        <v>87.117347953810537</v>
      </c>
      <c r="O25" s="79" t="s">
        <v>114</v>
      </c>
      <c r="P25" s="51" t="s">
        <v>114</v>
      </c>
      <c r="Q25" s="80">
        <v>750.66146322392694</v>
      </c>
      <c r="R25" s="52">
        <v>44.850542459157893</v>
      </c>
      <c r="S25" s="79">
        <v>2717.5367829289212</v>
      </c>
      <c r="T25" s="47">
        <v>24.268553621727079</v>
      </c>
    </row>
    <row r="26" spans="1:20" x14ac:dyDescent="0.2">
      <c r="A26" s="31"/>
      <c r="B26" s="45" t="str">
        <f>VLOOKUP("&lt;Zeilentitel_4.5&gt;",Uebersetzungen!$B$3:$E$83,Uebersetzungen!$B$2+1,FALSE)</f>
        <v>Staatsangehörigkeit unbekannt</v>
      </c>
      <c r="C26" s="70" t="s">
        <v>114</v>
      </c>
      <c r="D26" s="51" t="s">
        <v>114</v>
      </c>
      <c r="E26" s="79" t="s">
        <v>114</v>
      </c>
      <c r="F26" s="51" t="s">
        <v>114</v>
      </c>
      <c r="G26" s="79" t="s">
        <v>114</v>
      </c>
      <c r="H26" s="51" t="s">
        <v>114</v>
      </c>
      <c r="I26" s="79" t="s">
        <v>114</v>
      </c>
      <c r="J26" s="51" t="s">
        <v>114</v>
      </c>
      <c r="K26" s="79" t="s">
        <v>114</v>
      </c>
      <c r="L26" s="51" t="s">
        <v>114</v>
      </c>
      <c r="M26" s="79" t="s">
        <v>114</v>
      </c>
      <c r="N26" s="51" t="s">
        <v>114</v>
      </c>
      <c r="O26" s="79" t="s">
        <v>114</v>
      </c>
      <c r="P26" s="51" t="s">
        <v>114</v>
      </c>
      <c r="Q26" s="79" t="s">
        <v>114</v>
      </c>
      <c r="R26" s="51" t="s">
        <v>114</v>
      </c>
      <c r="S26" s="79" t="s">
        <v>114</v>
      </c>
      <c r="T26" s="47" t="s">
        <v>114</v>
      </c>
    </row>
    <row r="27" spans="1:20" x14ac:dyDescent="0.2">
      <c r="A27" s="30" t="str">
        <f>VLOOKUP("&lt;Zeilentitel_5&gt;",Uebersetzungen!$B$3:$E$83,Uebersetzungen!$B$2+1,FALSE)</f>
        <v>Migrationsstatus</v>
      </c>
      <c r="B27" s="43" t="str">
        <f>VLOOKUP("&lt;Zeilentitel_5.1&gt;",Uebersetzungen!$B$3:$E$83,Uebersetzungen!$B$2+1,FALSE)</f>
        <v>Schweizer/innen ohne Migrationshintergrund</v>
      </c>
      <c r="C27" s="70">
        <v>122616.61450815987</v>
      </c>
      <c r="D27" s="51">
        <v>1.7145052831186325</v>
      </c>
      <c r="E27" s="79">
        <v>101265.51517772497</v>
      </c>
      <c r="F27" s="51">
        <v>2.2727986565763789</v>
      </c>
      <c r="G27" s="79">
        <v>4353.5290852193166</v>
      </c>
      <c r="H27" s="51">
        <v>17.056928251013346</v>
      </c>
      <c r="I27" s="80">
        <v>1107.7804112697524</v>
      </c>
      <c r="J27" s="52">
        <v>34.215230786177045</v>
      </c>
      <c r="K27" s="79">
        <v>8187.9080072281622</v>
      </c>
      <c r="L27" s="51">
        <v>12.287081458838312</v>
      </c>
      <c r="M27" s="79">
        <v>7080.4712337469373</v>
      </c>
      <c r="N27" s="51">
        <v>13.275581998297385</v>
      </c>
      <c r="O27" s="79">
        <v>24132.075442716829</v>
      </c>
      <c r="P27" s="51">
        <v>6.7644796760089294</v>
      </c>
      <c r="Q27" s="79">
        <v>2476.222390976156</v>
      </c>
      <c r="R27" s="51">
        <v>22.834225303620762</v>
      </c>
      <c r="S27" s="79">
        <v>1803.691038548104</v>
      </c>
      <c r="T27" s="47">
        <v>26.733776610737241</v>
      </c>
    </row>
    <row r="28" spans="1:20" x14ac:dyDescent="0.2">
      <c r="A28" s="32"/>
      <c r="B28" s="45" t="str">
        <f>VLOOKUP("&lt;Zeilentitel_5.2&gt;",Uebersetzungen!$B$3:$E$83,Uebersetzungen!$B$2+1,FALSE)</f>
        <v>Schweizer/innen mit Migrationshintergrund</v>
      </c>
      <c r="C28" s="70">
        <v>15629.546250560858</v>
      </c>
      <c r="D28" s="51">
        <v>8.6791579709556306</v>
      </c>
      <c r="E28" s="79">
        <v>9212.9953218116752</v>
      </c>
      <c r="F28" s="51">
        <v>11.508298017952844</v>
      </c>
      <c r="G28" s="79">
        <v>3309.1404155308633</v>
      </c>
      <c r="H28" s="51">
        <v>19.612244875421631</v>
      </c>
      <c r="I28" s="80">
        <v>242.42768145409551</v>
      </c>
      <c r="J28" s="52">
        <v>73.118971166322623</v>
      </c>
      <c r="K28" s="80">
        <v>664.40369878163403</v>
      </c>
      <c r="L28" s="52">
        <v>44.341614892693201</v>
      </c>
      <c r="M28" s="79">
        <v>2845.5026643557808</v>
      </c>
      <c r="N28" s="51">
        <v>21.080634877783901</v>
      </c>
      <c r="O28" s="80">
        <v>688.34625887358652</v>
      </c>
      <c r="P28" s="52">
        <v>43.252027085876939</v>
      </c>
      <c r="Q28" s="80">
        <v>621.88467844676063</v>
      </c>
      <c r="R28" s="52">
        <v>45.570528749009014</v>
      </c>
      <c r="S28" s="79">
        <v>4831.9572546912987</v>
      </c>
      <c r="T28" s="47">
        <v>16.40266440899202</v>
      </c>
    </row>
    <row r="29" spans="1:20" x14ac:dyDescent="0.2">
      <c r="A29" s="32"/>
      <c r="B29" s="45" t="str">
        <f>VLOOKUP("&lt;Zeilentitel_5.3&gt;",Uebersetzungen!$B$3:$E$83,Uebersetzungen!$B$2+1,FALSE)</f>
        <v>Ausländer/innen der ersten Generation</v>
      </c>
      <c r="C29" s="70">
        <v>31359.402603251627</v>
      </c>
      <c r="D29" s="51">
        <v>6.3087876246097645</v>
      </c>
      <c r="E29" s="79">
        <v>6390.1557068367756</v>
      </c>
      <c r="F29" s="51">
        <v>14.890857508644672</v>
      </c>
      <c r="G29" s="79">
        <v>10628.978509226879</v>
      </c>
      <c r="H29" s="51">
        <v>11.297804919049177</v>
      </c>
      <c r="I29" s="80">
        <v>397.53158481661058</v>
      </c>
      <c r="J29" s="52">
        <v>58.370909164802939</v>
      </c>
      <c r="K29" s="80">
        <v>485.3319414184997</v>
      </c>
      <c r="L29" s="52">
        <v>56.20634057423122</v>
      </c>
      <c r="M29" s="79">
        <v>6418.3863762868687</v>
      </c>
      <c r="N29" s="51">
        <v>14.841608266289843</v>
      </c>
      <c r="O29" s="80">
        <v>275.51625147663935</v>
      </c>
      <c r="P29" s="52">
        <v>74.148735241496965</v>
      </c>
      <c r="Q29" s="79">
        <v>2763.028396942479</v>
      </c>
      <c r="R29" s="51">
        <v>23.020505144347116</v>
      </c>
      <c r="S29" s="79">
        <v>15364.179824420111</v>
      </c>
      <c r="T29" s="47">
        <v>9.6378851395010781</v>
      </c>
    </row>
    <row r="30" spans="1:20" ht="25.5" x14ac:dyDescent="0.2">
      <c r="A30" s="32"/>
      <c r="B30" s="45" t="str">
        <f>VLOOKUP("&lt;Zeilentitel_5.4&gt;",Uebersetzungen!$B$3:$E$83,Uebersetzungen!$B$2+1,FALSE)</f>
        <v>Ausländer/innen der zweiten und höheren Generation</v>
      </c>
      <c r="C30" s="70">
        <v>2340.0852101068194</v>
      </c>
      <c r="D30" s="51">
        <v>25.364680650187399</v>
      </c>
      <c r="E30" s="80">
        <v>1621.0593261313475</v>
      </c>
      <c r="F30" s="52">
        <v>30.141514700129314</v>
      </c>
      <c r="G30" s="80">
        <v>583.47910065768895</v>
      </c>
      <c r="H30" s="52">
        <v>52.908709218626427</v>
      </c>
      <c r="I30" s="79" t="s">
        <v>114</v>
      </c>
      <c r="J30" s="51" t="s">
        <v>114</v>
      </c>
      <c r="K30" s="79" t="s">
        <v>114</v>
      </c>
      <c r="L30" s="51" t="s">
        <v>114</v>
      </c>
      <c r="M30" s="80">
        <v>609.70014641261605</v>
      </c>
      <c r="N30" s="52">
        <v>48.712431065442892</v>
      </c>
      <c r="O30" s="79" t="s">
        <v>114</v>
      </c>
      <c r="P30" s="51" t="s">
        <v>114</v>
      </c>
      <c r="Q30" s="79" t="s">
        <v>114</v>
      </c>
      <c r="R30" s="51" t="s">
        <v>114</v>
      </c>
      <c r="S30" s="80">
        <v>1066.0086105200005</v>
      </c>
      <c r="T30" s="48">
        <v>39.229345329253732</v>
      </c>
    </row>
    <row r="31" spans="1:20" x14ac:dyDescent="0.2">
      <c r="A31" s="31"/>
      <c r="B31" s="45" t="str">
        <f>VLOOKUP("&lt;Zeilentitel_5.5&gt;",Uebersetzungen!$B$3:$E$83,Uebersetzungen!$B$2+1,FALSE)</f>
        <v>Migrationshintergrund unbekannt</v>
      </c>
      <c r="C31" s="71">
        <v>1041.3514279221372</v>
      </c>
      <c r="D31" s="52">
        <v>35.886950195120697</v>
      </c>
      <c r="E31" s="80">
        <v>852.40736855334251</v>
      </c>
      <c r="F31" s="52">
        <v>39.43758619821125</v>
      </c>
      <c r="G31" s="79" t="s">
        <v>114</v>
      </c>
      <c r="H31" s="51" t="s">
        <v>114</v>
      </c>
      <c r="I31" s="79" t="s">
        <v>114</v>
      </c>
      <c r="J31" s="51" t="s">
        <v>114</v>
      </c>
      <c r="K31" s="79" t="s">
        <v>114</v>
      </c>
      <c r="L31" s="51" t="s">
        <v>114</v>
      </c>
      <c r="M31" s="79" t="s">
        <v>114</v>
      </c>
      <c r="N31" s="51" t="s">
        <v>114</v>
      </c>
      <c r="O31" s="79" t="s">
        <v>114</v>
      </c>
      <c r="P31" s="51" t="s">
        <v>114</v>
      </c>
      <c r="Q31" s="79" t="s">
        <v>114</v>
      </c>
      <c r="R31" s="51" t="s">
        <v>114</v>
      </c>
      <c r="S31" s="79" t="s">
        <v>114</v>
      </c>
      <c r="T31" s="47" t="s">
        <v>114</v>
      </c>
    </row>
    <row r="32" spans="1:20" x14ac:dyDescent="0.2">
      <c r="A32" s="30" t="str">
        <f>VLOOKUP("&lt;Zeilentitel_6&gt;",Uebersetzungen!$B$3:$E$83,Uebersetzungen!$B$2+1,FALSE)</f>
        <v>Arbeitsmarktstatus</v>
      </c>
      <c r="B32" s="43" t="str">
        <f>VLOOKUP("&lt;T2Zeilentitel_6.1&gt;",Uebersetzungen!$B$3:$E$83,Uebersetzungen!$B$2+1,FALSE)</f>
        <v>Erwerbstätige</v>
      </c>
      <c r="C32" s="70">
        <v>107516.60503392141</v>
      </c>
      <c r="D32" s="51">
        <v>2.2329611220093946</v>
      </c>
      <c r="E32" s="79">
        <v>72215.566789227829</v>
      </c>
      <c r="F32" s="51">
        <v>3.2779963949483584</v>
      </c>
      <c r="G32" s="79">
        <v>13183.607023052358</v>
      </c>
      <c r="H32" s="51">
        <v>9.9074983646072106</v>
      </c>
      <c r="I32" s="80">
        <v>1040.9363256879187</v>
      </c>
      <c r="J32" s="52">
        <v>35.274975257352246</v>
      </c>
      <c r="K32" s="79">
        <v>5338.471402461817</v>
      </c>
      <c r="L32" s="51">
        <v>15.594910015268093</v>
      </c>
      <c r="M32" s="79">
        <v>10878.919017450469</v>
      </c>
      <c r="N32" s="51">
        <v>10.882539298547229</v>
      </c>
      <c r="O32" s="79">
        <v>15320.344319443107</v>
      </c>
      <c r="P32" s="51">
        <v>8.8272432872308322</v>
      </c>
      <c r="Q32" s="79">
        <v>4165.1077797478301</v>
      </c>
      <c r="R32" s="51">
        <v>18.115827632445995</v>
      </c>
      <c r="S32" s="79">
        <v>17264.159452086147</v>
      </c>
      <c r="T32" s="47">
        <v>8.8911183285225057</v>
      </c>
    </row>
    <row r="33" spans="1:20" x14ac:dyDescent="0.2">
      <c r="A33" s="32"/>
      <c r="B33" s="45" t="str">
        <f>VLOOKUP("&lt;T2Zeilentitel_6.2&gt;",Uebersetzungen!$B$3:$E$83,Uebersetzungen!$B$2+1,FALSE)</f>
        <v>Erwerbslose</v>
      </c>
      <c r="C33" s="70">
        <v>2273.582534576155</v>
      </c>
      <c r="D33" s="51">
        <v>25.546793337573479</v>
      </c>
      <c r="E33" s="80">
        <v>1194.5643474606234</v>
      </c>
      <c r="F33" s="52">
        <v>34.852700023830714</v>
      </c>
      <c r="G33" s="80">
        <v>454.35634583748242</v>
      </c>
      <c r="H33" s="52">
        <v>61.384438781945605</v>
      </c>
      <c r="I33" s="79" t="s">
        <v>114</v>
      </c>
      <c r="J33" s="51" t="s">
        <v>114</v>
      </c>
      <c r="K33" s="79" t="s">
        <v>114</v>
      </c>
      <c r="L33" s="51" t="s">
        <v>114</v>
      </c>
      <c r="M33" s="80">
        <v>426.83559508546534</v>
      </c>
      <c r="N33" s="52">
        <v>59.732636381306953</v>
      </c>
      <c r="O33" s="79" t="s">
        <v>114</v>
      </c>
      <c r="P33" s="51" t="s">
        <v>114</v>
      </c>
      <c r="Q33" s="79" t="s">
        <v>114</v>
      </c>
      <c r="R33" s="51" t="s">
        <v>114</v>
      </c>
      <c r="S33" s="80">
        <v>589.59819516062873</v>
      </c>
      <c r="T33" s="48">
        <v>51.922543886967496</v>
      </c>
    </row>
    <row r="34" spans="1:20" x14ac:dyDescent="0.2">
      <c r="A34" s="31"/>
      <c r="B34" s="45" t="str">
        <f>VLOOKUP("&lt;T2Zeilentitel_6.3&gt;",Uebersetzungen!$B$3:$E$83,Uebersetzungen!$B$2+1,FALSE)</f>
        <v>Nichterwerbspersonen</v>
      </c>
      <c r="C34" s="70">
        <v>63196.812431503633</v>
      </c>
      <c r="D34" s="51">
        <v>3.5749644565401599</v>
      </c>
      <c r="E34" s="79">
        <v>45932.001764369685</v>
      </c>
      <c r="F34" s="51">
        <v>4.4751479106218222</v>
      </c>
      <c r="G34" s="79">
        <v>5312.2052343061277</v>
      </c>
      <c r="H34" s="51">
        <v>15.656657682904079</v>
      </c>
      <c r="I34" s="80">
        <v>706.80335185254012</v>
      </c>
      <c r="J34" s="52">
        <v>43.376284070243663</v>
      </c>
      <c r="K34" s="79">
        <v>3925.8890239176817</v>
      </c>
      <c r="L34" s="51">
        <v>17.780900168938992</v>
      </c>
      <c r="M34" s="79">
        <v>5755.514452763563</v>
      </c>
      <c r="N34" s="51">
        <v>15.020191024016153</v>
      </c>
      <c r="O34" s="79">
        <v>9770.6482053528634</v>
      </c>
      <c r="P34" s="51">
        <v>11.008062754345151</v>
      </c>
      <c r="Q34" s="80">
        <v>1720.025427802153</v>
      </c>
      <c r="R34" s="52">
        <v>27.991198014626764</v>
      </c>
      <c r="S34" s="79">
        <v>5370.7547992524478</v>
      </c>
      <c r="T34" s="47">
        <v>16.16489218197777</v>
      </c>
    </row>
    <row r="35" spans="1:20" x14ac:dyDescent="0.2">
      <c r="A35" s="32" t="str">
        <f>VLOOKUP("&lt;Zeilentitel_7&gt;",Uebersetzungen!$B$3:$E$83,Uebersetzungen!$B$2+1,FALSE)</f>
        <v>Sozioprofessionelle Kategorien</v>
      </c>
      <c r="B35" s="43" t="str">
        <f>VLOOKUP("&lt;Zeilentitel_7.1&gt;",Uebersetzungen!$B$3:$E$83,Uebersetzungen!$B$2+1,FALSE)</f>
        <v>Oberstes Management</v>
      </c>
      <c r="C35" s="70">
        <v>2953.3948145954159</v>
      </c>
      <c r="D35" s="51">
        <v>20.757746539864385</v>
      </c>
      <c r="E35" s="79">
        <v>1997.976451097099</v>
      </c>
      <c r="F35" s="51">
        <v>25.10414535896555</v>
      </c>
      <c r="G35" s="80">
        <v>414.35172725446944</v>
      </c>
      <c r="H35" s="52">
        <v>58.881036509980262</v>
      </c>
      <c r="I35" s="79" t="s">
        <v>114</v>
      </c>
      <c r="J35" s="51" t="s">
        <v>114</v>
      </c>
      <c r="K35" s="80">
        <v>245.84552144908622</v>
      </c>
      <c r="L35" s="52">
        <v>73.098649626793602</v>
      </c>
      <c r="M35" s="80">
        <v>257.5189194798308</v>
      </c>
      <c r="N35" s="52">
        <v>73.685579165135366</v>
      </c>
      <c r="O35" s="80">
        <v>373.35546811465656</v>
      </c>
      <c r="P35" s="52">
        <v>58.232284317023066</v>
      </c>
      <c r="Q35" s="79" t="s">
        <v>114</v>
      </c>
      <c r="R35" s="51" t="s">
        <v>114</v>
      </c>
      <c r="S35" s="80">
        <v>507.28038837328472</v>
      </c>
      <c r="T35" s="48">
        <v>54.117921240522776</v>
      </c>
    </row>
    <row r="36" spans="1:20" x14ac:dyDescent="0.2">
      <c r="A36" s="33"/>
      <c r="B36" s="45" t="str">
        <f>VLOOKUP("&lt;Zeilentitel_7.2&gt;",Uebersetzungen!$B$3:$E$83,Uebersetzungen!$B$2+1,FALSE)</f>
        <v>Freie und gleichgestellte Berufe</v>
      </c>
      <c r="C36" s="70">
        <v>2954.6168063002165</v>
      </c>
      <c r="D36" s="51">
        <v>20.718263642941835</v>
      </c>
      <c r="E36" s="79">
        <v>1929.0002017671025</v>
      </c>
      <c r="F36" s="51">
        <v>25.517676185148652</v>
      </c>
      <c r="G36" s="80">
        <v>683.03138924551581</v>
      </c>
      <c r="H36" s="52">
        <v>43.273844348835311</v>
      </c>
      <c r="I36" s="79" t="s">
        <v>114</v>
      </c>
      <c r="J36" s="51" t="s">
        <v>114</v>
      </c>
      <c r="K36" s="79" t="s">
        <v>114</v>
      </c>
      <c r="L36" s="51" t="s">
        <v>114</v>
      </c>
      <c r="M36" s="80">
        <v>462.17329411825597</v>
      </c>
      <c r="N36" s="52">
        <v>53.663260741690692</v>
      </c>
      <c r="O36" s="80">
        <v>206.10653210286526</v>
      </c>
      <c r="P36" s="52">
        <v>78.946086223768617</v>
      </c>
      <c r="Q36" s="80">
        <v>330.8595263116141</v>
      </c>
      <c r="R36" s="52">
        <v>64.54914802034034</v>
      </c>
      <c r="S36" s="79" t="s">
        <v>114</v>
      </c>
      <c r="T36" s="47" t="s">
        <v>114</v>
      </c>
    </row>
    <row r="37" spans="1:20" x14ac:dyDescent="0.2">
      <c r="A37" s="34"/>
      <c r="B37" s="45" t="str">
        <f>VLOOKUP("&lt;Zeilentitel_7.3&gt;",Uebersetzungen!$B$3:$E$83,Uebersetzungen!$B$2+1,FALSE)</f>
        <v>Andere Selbstständige</v>
      </c>
      <c r="C37" s="70">
        <v>12636.193618091322</v>
      </c>
      <c r="D37" s="51">
        <v>9.9706743754828704</v>
      </c>
      <c r="E37" s="79">
        <v>8834.9028306523014</v>
      </c>
      <c r="F37" s="51">
        <v>12.034103178876057</v>
      </c>
      <c r="G37" s="80">
        <v>1118.6708605948311</v>
      </c>
      <c r="H37" s="52">
        <v>34.874350659362861</v>
      </c>
      <c r="I37" s="80">
        <v>173.94784739527535</v>
      </c>
      <c r="J37" s="52">
        <v>86.510884434247387</v>
      </c>
      <c r="K37" s="80">
        <v>757.45992076818811</v>
      </c>
      <c r="L37" s="52">
        <v>42.216018178997764</v>
      </c>
      <c r="M37" s="80">
        <v>1236.0617196918849</v>
      </c>
      <c r="N37" s="52">
        <v>33.152168771279058</v>
      </c>
      <c r="O37" s="79">
        <v>2276.9294292758677</v>
      </c>
      <c r="P37" s="51">
        <v>24.050862686902459</v>
      </c>
      <c r="Q37" s="80">
        <v>261.95621840261452</v>
      </c>
      <c r="R37" s="52">
        <v>73.682141784608191</v>
      </c>
      <c r="S37" s="80">
        <v>1046.2569471389852</v>
      </c>
      <c r="T37" s="48">
        <v>37.491424876575046</v>
      </c>
    </row>
    <row r="38" spans="1:20" x14ac:dyDescent="0.2">
      <c r="A38" s="34"/>
      <c r="B38" s="45" t="str">
        <f>VLOOKUP("&lt;Zeilentitel_7.4&gt;",Uebersetzungen!$B$3:$E$83,Uebersetzungen!$B$2+1,FALSE)</f>
        <v>Akademische Berufe und oberes Kader</v>
      </c>
      <c r="C38" s="70">
        <v>14768.995519368731</v>
      </c>
      <c r="D38" s="51">
        <v>8.9235268938046044</v>
      </c>
      <c r="E38" s="79">
        <v>10443.998271839897</v>
      </c>
      <c r="F38" s="51">
        <v>10.707604192931642</v>
      </c>
      <c r="G38" s="79">
        <v>2588.0117611936535</v>
      </c>
      <c r="H38" s="51">
        <v>22.503990245426095</v>
      </c>
      <c r="I38" s="80">
        <v>447.22917945368027</v>
      </c>
      <c r="J38" s="52">
        <v>53.622795664470409</v>
      </c>
      <c r="K38" s="80">
        <v>765.65764990805542</v>
      </c>
      <c r="L38" s="52">
        <v>41.258546359756039</v>
      </c>
      <c r="M38" s="80">
        <v>1404.3546672445941</v>
      </c>
      <c r="N38" s="52">
        <v>29.94593469231306</v>
      </c>
      <c r="O38" s="79">
        <v>2110.2287285853049</v>
      </c>
      <c r="P38" s="51">
        <v>24.494281569186274</v>
      </c>
      <c r="Q38" s="80">
        <v>856.28634136935875</v>
      </c>
      <c r="R38" s="52">
        <v>38.895634522613179</v>
      </c>
      <c r="S38" s="80">
        <v>1071.2454589708952</v>
      </c>
      <c r="T38" s="48">
        <v>34.883731855957308</v>
      </c>
    </row>
    <row r="39" spans="1:20" x14ac:dyDescent="0.2">
      <c r="A39" s="34"/>
      <c r="B39" s="45" t="str">
        <f>VLOOKUP("&lt;Zeilentitel_7.5&gt;",Uebersetzungen!$B$3:$E$83,Uebersetzungen!$B$2+1,FALSE)</f>
        <v>Intermediäre Berufe</v>
      </c>
      <c r="C39" s="70">
        <v>31790.919442611848</v>
      </c>
      <c r="D39" s="51">
        <v>5.8999378246301468</v>
      </c>
      <c r="E39" s="79">
        <v>22218.723830596311</v>
      </c>
      <c r="F39" s="51">
        <v>7.2044219978267217</v>
      </c>
      <c r="G39" s="79">
        <v>4779.7066142756566</v>
      </c>
      <c r="H39" s="51">
        <v>16.959453911897267</v>
      </c>
      <c r="I39" s="80">
        <v>208.06963278318136</v>
      </c>
      <c r="J39" s="52">
        <v>79.338362217025278</v>
      </c>
      <c r="K39" s="80">
        <v>1016.8073111185546</v>
      </c>
      <c r="L39" s="52">
        <v>35.864325500218641</v>
      </c>
      <c r="M39" s="79">
        <v>3515.0150246653334</v>
      </c>
      <c r="N39" s="51">
        <v>19.484493852438572</v>
      </c>
      <c r="O39" s="79">
        <v>4608.6809156666741</v>
      </c>
      <c r="P39" s="51">
        <v>16.638168401411054</v>
      </c>
      <c r="Q39" s="80">
        <v>1232.1167947273686</v>
      </c>
      <c r="R39" s="52">
        <v>34.326566897221191</v>
      </c>
      <c r="S39" s="79">
        <v>4523.7879685520484</v>
      </c>
      <c r="T39" s="47">
        <v>17.937782777864264</v>
      </c>
    </row>
    <row r="40" spans="1:20" x14ac:dyDescent="0.2">
      <c r="A40" s="34"/>
      <c r="B40" s="45" t="str">
        <f>VLOOKUP("&lt;Zeilentitel_7.6&gt;",Uebersetzungen!$B$3:$E$83,Uebersetzungen!$B$2+1,FALSE)</f>
        <v>Qualifizierte nichtmanuelle Berufe</v>
      </c>
      <c r="C40" s="70">
        <v>19687.931100661244</v>
      </c>
      <c r="D40" s="51">
        <v>7.8145678044516167</v>
      </c>
      <c r="E40" s="79">
        <v>14860.772821498482</v>
      </c>
      <c r="F40" s="51">
        <v>9.054859963782846</v>
      </c>
      <c r="G40" s="80">
        <v>1651.3813151934569</v>
      </c>
      <c r="H40" s="52">
        <v>28.837770021308231</v>
      </c>
      <c r="I40" s="79" t="s">
        <v>114</v>
      </c>
      <c r="J40" s="51" t="s">
        <v>114</v>
      </c>
      <c r="K40" s="80">
        <v>1139.4394820761547</v>
      </c>
      <c r="L40" s="52">
        <v>34.133802105093523</v>
      </c>
      <c r="M40" s="79">
        <v>1903.3729307019942</v>
      </c>
      <c r="N40" s="51">
        <v>26.775952903728637</v>
      </c>
      <c r="O40" s="79">
        <v>2599.9257936796516</v>
      </c>
      <c r="P40" s="51">
        <v>22.16717795390376</v>
      </c>
      <c r="Q40" s="80">
        <v>589.77185092022876</v>
      </c>
      <c r="R40" s="52">
        <v>48.566428981410581</v>
      </c>
      <c r="S40" s="79">
        <v>2461.1264880430404</v>
      </c>
      <c r="T40" s="47">
        <v>24.405623954153292</v>
      </c>
    </row>
    <row r="41" spans="1:20" x14ac:dyDescent="0.2">
      <c r="A41" s="34"/>
      <c r="B41" s="45" t="str">
        <f>VLOOKUP("&lt;Zeilentitel_7.7&gt;",Uebersetzungen!$B$3:$E$83,Uebersetzungen!$B$2+1,FALSE)</f>
        <v>Qualifizierte manuelle Berufe</v>
      </c>
      <c r="C41" s="70">
        <v>9484.8792043123321</v>
      </c>
      <c r="D41" s="51">
        <v>11.864977699035611</v>
      </c>
      <c r="E41" s="79">
        <v>6407.5944811423897</v>
      </c>
      <c r="F41" s="51">
        <v>14.43549556709675</v>
      </c>
      <c r="G41" s="80">
        <v>990.77563374097508</v>
      </c>
      <c r="H41" s="52">
        <v>39.187271679565477</v>
      </c>
      <c r="I41" s="79" t="s">
        <v>114</v>
      </c>
      <c r="J41" s="51" t="s">
        <v>114</v>
      </c>
      <c r="K41" s="80">
        <v>590.37506423349294</v>
      </c>
      <c r="L41" s="52">
        <v>48.411206492521885</v>
      </c>
      <c r="M41" s="80">
        <v>798.9674617231741</v>
      </c>
      <c r="N41" s="52">
        <v>42.351643620294475</v>
      </c>
      <c r="O41" s="80">
        <v>1443.072986137141</v>
      </c>
      <c r="P41" s="52">
        <v>30.115886692462023</v>
      </c>
      <c r="Q41" s="80">
        <v>281.66111679791709</v>
      </c>
      <c r="R41" s="52">
        <v>73.273692813022947</v>
      </c>
      <c r="S41" s="80">
        <v>1635.6991721820948</v>
      </c>
      <c r="T41" s="48">
        <v>30.78667374204295</v>
      </c>
    </row>
    <row r="42" spans="1:20" x14ac:dyDescent="0.2">
      <c r="A42" s="34"/>
      <c r="B42" s="45" t="str">
        <f>VLOOKUP("&lt;Zeilentitel_7.8&gt;",Uebersetzungen!$B$3:$E$83,Uebersetzungen!$B$2+1,FALSE)</f>
        <v>Ungelernte Angestellte und Arbeiter</v>
      </c>
      <c r="C42" s="70">
        <v>7868.3355356968314</v>
      </c>
      <c r="D42" s="51">
        <v>13.346655540716672</v>
      </c>
      <c r="E42" s="79">
        <v>2384.1677150382675</v>
      </c>
      <c r="F42" s="51">
        <v>23.70419698870457</v>
      </c>
      <c r="G42" s="80">
        <v>552.57604799496676</v>
      </c>
      <c r="H42" s="52">
        <v>51.734240173436334</v>
      </c>
      <c r="I42" s="79" t="s">
        <v>114</v>
      </c>
      <c r="J42" s="51" t="s">
        <v>114</v>
      </c>
      <c r="K42" s="80">
        <v>270.56507199306583</v>
      </c>
      <c r="L42" s="52">
        <v>73.900933615587562</v>
      </c>
      <c r="M42" s="80">
        <v>796.89950476224885</v>
      </c>
      <c r="N42" s="52">
        <v>43.620251734808804</v>
      </c>
      <c r="O42" s="80">
        <v>713.74437799356656</v>
      </c>
      <c r="P42" s="52">
        <v>43.213348865241088</v>
      </c>
      <c r="Q42" s="80">
        <v>270.62142794581666</v>
      </c>
      <c r="R42" s="52">
        <v>73.058625509377691</v>
      </c>
      <c r="S42" s="79">
        <v>4766.0476550841495</v>
      </c>
      <c r="T42" s="47">
        <v>17.60547005336748</v>
      </c>
    </row>
    <row r="43" spans="1:20" ht="25.5" customHeight="1" x14ac:dyDescent="0.2">
      <c r="A43" s="34"/>
      <c r="B43" s="45" t="str">
        <f>VLOOKUP("&lt;Zeilentitel_7.9&gt;",Uebersetzungen!$B$3:$E$83,Uebersetzungen!$B$2+1,FALSE)</f>
        <v>Lernende in dualer beruflicher Grundbildung (Lehrlinge)</v>
      </c>
      <c r="C43" s="70">
        <v>3201.5321721395994</v>
      </c>
      <c r="D43" s="51">
        <v>20.317967540486357</v>
      </c>
      <c r="E43" s="79">
        <v>1950.6426899870671</v>
      </c>
      <c r="F43" s="51">
        <v>25.808450120860321</v>
      </c>
      <c r="G43" s="80">
        <v>205.21880664708638</v>
      </c>
      <c r="H43" s="52">
        <v>79.03363454279544</v>
      </c>
      <c r="I43" s="79" t="s">
        <v>114</v>
      </c>
      <c r="J43" s="51" t="s">
        <v>114</v>
      </c>
      <c r="K43" s="80">
        <v>205.14009074373544</v>
      </c>
      <c r="L43" s="52">
        <v>78.998444049666858</v>
      </c>
      <c r="M43" s="80">
        <v>315.65610682725639</v>
      </c>
      <c r="N43" s="52">
        <v>64.990309885275593</v>
      </c>
      <c r="O43" s="80">
        <v>771.32877006287197</v>
      </c>
      <c r="P43" s="52">
        <v>41.301723046838561</v>
      </c>
      <c r="Q43" s="79" t="s">
        <v>114</v>
      </c>
      <c r="R43" s="51" t="s">
        <v>114</v>
      </c>
      <c r="S43" s="80">
        <v>555.22535797644298</v>
      </c>
      <c r="T43" s="48">
        <v>52.049253056763298</v>
      </c>
    </row>
    <row r="44" spans="1:20" ht="38.25" x14ac:dyDescent="0.2">
      <c r="A44" s="34"/>
      <c r="B44" s="45" t="str">
        <f>VLOOKUP("&lt;Zeilentitel_7.10&gt;",Uebersetzungen!$B$3:$E$83,Uebersetzungen!$B$2+1,FALSE)</f>
        <v>Nicht zuteilbare Erwerbstätige (fehlende oder unklare Basisdaten oder unplausible Kombination)</v>
      </c>
      <c r="C44" s="70">
        <v>2169.8068201438932</v>
      </c>
      <c r="D44" s="51">
        <v>25.542148859673862</v>
      </c>
      <c r="E44" s="80">
        <v>1187.7874956090095</v>
      </c>
      <c r="F44" s="52">
        <v>33.71290797516005</v>
      </c>
      <c r="G44" s="80">
        <v>199.88286691175722</v>
      </c>
      <c r="H44" s="52">
        <v>86.977664685373611</v>
      </c>
      <c r="I44" s="79" t="s">
        <v>114</v>
      </c>
      <c r="J44" s="51" t="s">
        <v>114</v>
      </c>
      <c r="K44" s="80">
        <v>212.82866922293627</v>
      </c>
      <c r="L44" s="52">
        <v>78.901673152321735</v>
      </c>
      <c r="M44" s="80">
        <v>188.89938823590069</v>
      </c>
      <c r="N44" s="52">
        <v>86.933494206908648</v>
      </c>
      <c r="O44" s="80">
        <v>216.97131782450899</v>
      </c>
      <c r="P44" s="52">
        <v>79.34647772456961</v>
      </c>
      <c r="Q44" s="79" t="s">
        <v>114</v>
      </c>
      <c r="R44" s="51" t="s">
        <v>114</v>
      </c>
      <c r="S44" s="80">
        <v>591.24455245256479</v>
      </c>
      <c r="T44" s="48">
        <v>52.778639806370414</v>
      </c>
    </row>
    <row r="45" spans="1:20" x14ac:dyDescent="0.2">
      <c r="A45" s="34"/>
      <c r="B45" s="45" t="str">
        <f>VLOOKUP("&lt;Zeilentitel_7.11&gt;",Uebersetzungen!$B$3:$E$83,Uebersetzungen!$B$2+1,FALSE)</f>
        <v>Erwerbslose und Nichterwerbspersonen</v>
      </c>
      <c r="C45" s="70">
        <v>65470.394966079766</v>
      </c>
      <c r="D45" s="51">
        <v>3.4907975001965958</v>
      </c>
      <c r="E45" s="79">
        <v>47126.566111830296</v>
      </c>
      <c r="F45" s="51">
        <v>4.4078882923896332</v>
      </c>
      <c r="G45" s="79">
        <v>5766.5615801436115</v>
      </c>
      <c r="H45" s="51">
        <v>15.176080284251478</v>
      </c>
      <c r="I45" s="80">
        <v>706.80335185254012</v>
      </c>
      <c r="J45" s="52">
        <v>43.376284070243663</v>
      </c>
      <c r="K45" s="79">
        <v>4067.3452013455944</v>
      </c>
      <c r="L45" s="51">
        <v>17.492715343126054</v>
      </c>
      <c r="M45" s="79">
        <v>6182.3500478490296</v>
      </c>
      <c r="N45" s="51">
        <v>14.545094683338398</v>
      </c>
      <c r="O45" s="79">
        <v>9922.1232070104452</v>
      </c>
      <c r="P45" s="51">
        <v>10.930231586136433</v>
      </c>
      <c r="Q45" s="79">
        <v>1838.1236642751992</v>
      </c>
      <c r="R45" s="51">
        <v>27.15450844619339</v>
      </c>
      <c r="S45" s="79">
        <v>5960.3529944130751</v>
      </c>
      <c r="T45" s="47">
        <v>15.400966380383666</v>
      </c>
    </row>
    <row r="46" spans="1:20" ht="12.75" customHeight="1" x14ac:dyDescent="0.2">
      <c r="A46" s="30" t="str">
        <f>VLOOKUP("&lt;Zeilentitel_8&gt;",Uebersetzungen!$B$3:$E$83,Uebersetzungen!$B$2+1,FALSE)</f>
        <v>Höchste abgeschlossene Ausbildung</v>
      </c>
      <c r="B46" s="43" t="str">
        <f>VLOOKUP("&lt;Zeilentitel_8.1&gt;",Uebersetzungen!$B$3:$E$83,Uebersetzungen!$B$2+1,FALSE)</f>
        <v>Ohne nachobligatorische Aubildung</v>
      </c>
      <c r="C46" s="70">
        <v>35257.105825795763</v>
      </c>
      <c r="D46" s="51">
        <v>5.5602700259148854</v>
      </c>
      <c r="E46" s="79">
        <v>18572.368318982131</v>
      </c>
      <c r="F46" s="51">
        <v>7.8852138913863845</v>
      </c>
      <c r="G46" s="79">
        <v>3053.7634919927004</v>
      </c>
      <c r="H46" s="51">
        <v>21.1718874266558</v>
      </c>
      <c r="I46" s="80">
        <v>211.90746623150358</v>
      </c>
      <c r="J46" s="52">
        <v>79.121036973435281</v>
      </c>
      <c r="K46" s="79">
        <v>1992.9320399545015</v>
      </c>
      <c r="L46" s="51">
        <v>25.382162774097306</v>
      </c>
      <c r="M46" s="79">
        <v>4577.8563937707777</v>
      </c>
      <c r="N46" s="51">
        <v>17.21869481959995</v>
      </c>
      <c r="O46" s="79">
        <v>5561.0308331499482</v>
      </c>
      <c r="P46" s="51">
        <v>14.865921721675271</v>
      </c>
      <c r="Q46" s="80">
        <v>1001.313935475185</v>
      </c>
      <c r="R46" s="52">
        <v>37.327191371577115</v>
      </c>
      <c r="S46" s="79">
        <v>10070.323130564075</v>
      </c>
      <c r="T46" s="47">
        <v>11.864547838141608</v>
      </c>
    </row>
    <row r="47" spans="1:20" x14ac:dyDescent="0.2">
      <c r="A47" s="34"/>
      <c r="B47" s="45" t="str">
        <f>VLOOKUP("&lt;Zeilentitel_8.2&gt;",Uebersetzungen!$B$3:$E$83,Uebersetzungen!$B$2+1,FALSE)</f>
        <v>Sekundarstufe II</v>
      </c>
      <c r="C47" s="70">
        <v>79770.079363931363</v>
      </c>
      <c r="D47" s="51">
        <v>3.0314707120835456</v>
      </c>
      <c r="E47" s="79">
        <v>59277.385978649087</v>
      </c>
      <c r="F47" s="51">
        <v>3.8333812857883922</v>
      </c>
      <c r="G47" s="79">
        <v>7209.9864440252522</v>
      </c>
      <c r="H47" s="51">
        <v>13.897957594491547</v>
      </c>
      <c r="I47" s="80">
        <v>412.19084380446947</v>
      </c>
      <c r="J47" s="52">
        <v>55.83622373823551</v>
      </c>
      <c r="K47" s="79">
        <v>4673.1922565096293</v>
      </c>
      <c r="L47" s="51">
        <v>16.590184554470689</v>
      </c>
      <c r="M47" s="79">
        <v>7410.0464147723496</v>
      </c>
      <c r="N47" s="51">
        <v>13.393208857428931</v>
      </c>
      <c r="O47" s="79">
        <v>12071.266801312464</v>
      </c>
      <c r="P47" s="51">
        <v>9.9898338607836781</v>
      </c>
      <c r="Q47" s="80">
        <v>1773.0590376258392</v>
      </c>
      <c r="R47" s="52">
        <v>28.243151538470109</v>
      </c>
      <c r="S47" s="79">
        <v>7745.057065812176</v>
      </c>
      <c r="T47" s="47">
        <v>13.736969496424232</v>
      </c>
    </row>
    <row r="48" spans="1:20" ht="13.5" thickBot="1" x14ac:dyDescent="0.25">
      <c r="A48" s="35"/>
      <c r="B48" s="46" t="str">
        <f>VLOOKUP("&lt;Zeilentitel_8.3&gt;",Uebersetzungen!$B$3:$E$83,Uebersetzungen!$B$2+1,FALSE)</f>
        <v>Tertiärstufe</v>
      </c>
      <c r="C48" s="72">
        <v>57959.814810274111</v>
      </c>
      <c r="D48" s="53">
        <v>3.8600787798579197</v>
      </c>
      <c r="E48" s="82">
        <v>41492.378603427045</v>
      </c>
      <c r="F48" s="53">
        <v>4.8328128826162908</v>
      </c>
      <c r="G48" s="82">
        <v>8686.4186671780353</v>
      </c>
      <c r="H48" s="53">
        <v>12.092017749816508</v>
      </c>
      <c r="I48" s="83">
        <v>1123.6413675044857</v>
      </c>
      <c r="J48" s="59">
        <v>34.217037807486342</v>
      </c>
      <c r="K48" s="82">
        <v>2739.692307343284</v>
      </c>
      <c r="L48" s="53">
        <v>21.633244130325533</v>
      </c>
      <c r="M48" s="82">
        <v>5073.366256756377</v>
      </c>
      <c r="N48" s="53">
        <v>15.839141824805914</v>
      </c>
      <c r="O48" s="82">
        <v>7610.1698919911496</v>
      </c>
      <c r="P48" s="53">
        <v>12.756058496549704</v>
      </c>
      <c r="Q48" s="82">
        <v>3228.8584709220045</v>
      </c>
      <c r="R48" s="53">
        <v>20.372072585318357</v>
      </c>
      <c r="S48" s="82">
        <v>5409.1322501229679</v>
      </c>
      <c r="T48" s="92">
        <v>15.988087438502077</v>
      </c>
    </row>
    <row r="49" spans="1:20" x14ac:dyDescent="0.2">
      <c r="A49" s="25"/>
      <c r="B49" s="18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6"/>
      <c r="R49" s="27"/>
      <c r="S49" s="28"/>
      <c r="T49" s="27"/>
    </row>
    <row r="50" spans="1:20" x14ac:dyDescent="0.2">
      <c r="A50" s="13" t="str">
        <f>VLOOKUP("&lt;Legende_1&gt;",Uebersetzungen!$B$3:$E$72,Uebersetzungen!$B$2+1,FALSE)</f>
        <v>Die Befragten konnten mehrere Hauptsprachen nennen.</v>
      </c>
    </row>
    <row r="51" spans="1:20" x14ac:dyDescent="0.2">
      <c r="A51" s="13" t="str">
        <f>VLOOKUP("&lt;Legende_2&gt;",Uebersetzungen!$B$3:$E$72,Uebersetzungen!$B$2+1,FALSE)</f>
        <v>(): Extrapolation aufgrund von 49 oder weniger Beobachtungen. Die Resultate sind mit grosser Vorsicht zu interpretieren.</v>
      </c>
    </row>
    <row r="52" spans="1:20" x14ac:dyDescent="0.2">
      <c r="A52" s="13" t="str">
        <f>VLOOKUP("&lt;Legende_3&gt;",Uebersetzungen!$B$3:$E$72,Uebersetzungen!$B$2+1,FALSE)</f>
        <v>X: Extrapolation aufgrund von 4 oder weniger Beobachtungen. Die Resultate werden aus Gründen des Datenschutzes nicht publiziert.</v>
      </c>
    </row>
    <row r="53" spans="1:20" x14ac:dyDescent="0.2">
      <c r="A53" s="13" t="str">
        <f>VLOOKUP("&lt;Legende_4&gt;",Uebersetzungen!$B$3:$E$72,Uebersetzungen!$B$2+1,FALSE)</f>
        <v>Die Grundgesamtheit der Strukturerhebung enthält alle Personen der ständigen Wohnbevölkerung ab vollendetem 15. Altersjahr, die in Privathaushalten leben.</v>
      </c>
    </row>
    <row r="54" spans="1:20" x14ac:dyDescent="0.2">
      <c r="A54" s="41" t="str">
        <f>VLOOKUP("&lt;Legende_5&gt;",Uebersetzungen!$B$3:$E$72,Uebersetzungen!$B$2+1,FALSE)</f>
        <v>Aus der Grundgesamtheit ausgeschlossen wurden neben den Personen, die in Kollektivhaushalten leben, auch Diplomaten, internationale Funktionäre und deren Angehörige.</v>
      </c>
    </row>
    <row r="55" spans="1:20" x14ac:dyDescent="0.2">
      <c r="A55" s="7"/>
    </row>
    <row r="56" spans="1:20" x14ac:dyDescent="0.2">
      <c r="A56" s="7" t="str">
        <f>VLOOKUP("&lt;Quelle_1&gt;",Uebersetzungen!$B$3:$E$83,Uebersetzungen!$B$2+1,FALSE)</f>
        <v>Quelle: BFS (Strukturerhebung)</v>
      </c>
    </row>
    <row r="57" spans="1:20" x14ac:dyDescent="0.2">
      <c r="A57" s="6" t="str">
        <f>VLOOKUP("&lt;Aktualisierung&gt;",Uebersetzungen!$B$3:$E$83,Uebersetzungen!$B$2+1,FALSE)</f>
        <v>Letztmals aktualisiert am: 18.03.2024</v>
      </c>
    </row>
    <row r="58" spans="1:20" x14ac:dyDescent="0.2">
      <c r="B58" s="9"/>
      <c r="R58" s="9"/>
    </row>
    <row r="60" spans="1:20" x14ac:dyDescent="0.2">
      <c r="B60" s="10"/>
      <c r="R60" s="10"/>
    </row>
    <row r="61" spans="1:20" x14ac:dyDescent="0.2">
      <c r="R61" s="9"/>
      <c r="S61" s="9"/>
      <c r="T61" s="9"/>
    </row>
  </sheetData>
  <sheetProtection sheet="1" objects="1" scenarios="1"/>
  <mergeCells count="12">
    <mergeCell ref="O13:P13"/>
    <mergeCell ref="Q13:R13"/>
    <mergeCell ref="S13:T13"/>
    <mergeCell ref="A7:D7"/>
    <mergeCell ref="C12:T12"/>
    <mergeCell ref="B13:B14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32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123825</xdr:rowOff>
                  </from>
                  <to>
                    <xdr:col>4</xdr:col>
                    <xdr:colOff>609600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2</xdr:row>
                    <xdr:rowOff>114300</xdr:rowOff>
                  </from>
                  <to>
                    <xdr:col>5</xdr:col>
                    <xdr:colOff>276225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76200</xdr:rowOff>
                  </from>
                  <to>
                    <xdr:col>4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43" workbookViewId="0">
      <selection activeCell="D66" sqref="D66:E69"/>
    </sheetView>
  </sheetViews>
  <sheetFormatPr baseColWidth="10" defaultColWidth="11" defaultRowHeight="12.75" x14ac:dyDescent="0.2"/>
  <cols>
    <col min="1" max="1" width="7.5" style="20" bestFit="1" customWidth="1"/>
    <col min="2" max="2" width="15.5" style="20" bestFit="1" customWidth="1"/>
    <col min="3" max="3" width="40.875" style="20" bestFit="1" customWidth="1"/>
    <col min="4" max="4" width="41.625" style="20" bestFit="1" customWidth="1"/>
    <col min="5" max="5" width="41.125" style="20" bestFit="1" customWidth="1"/>
    <col min="6" max="16384" width="11" style="20"/>
  </cols>
  <sheetData>
    <row r="1" spans="1:6" x14ac:dyDescent="0.2">
      <c r="A1" s="14" t="s">
        <v>30</v>
      </c>
      <c r="B1" s="14" t="s">
        <v>31</v>
      </c>
      <c r="C1" s="14" t="s">
        <v>32</v>
      </c>
      <c r="D1" s="14" t="s">
        <v>33</v>
      </c>
      <c r="E1" s="14" t="s">
        <v>34</v>
      </c>
      <c r="F1" s="15"/>
    </row>
    <row r="2" spans="1:6" x14ac:dyDescent="0.2">
      <c r="A2" s="21" t="s">
        <v>35</v>
      </c>
      <c r="B2" s="22">
        <v>1</v>
      </c>
      <c r="C2" s="15"/>
      <c r="D2" s="15"/>
      <c r="E2" s="15"/>
      <c r="F2" s="15"/>
    </row>
    <row r="3" spans="1:6" x14ac:dyDescent="0.2">
      <c r="A3" s="21"/>
      <c r="B3" s="20" t="s">
        <v>37</v>
      </c>
      <c r="C3" s="16" t="s">
        <v>38</v>
      </c>
      <c r="D3" s="16" t="s">
        <v>39</v>
      </c>
      <c r="E3" s="16" t="s">
        <v>40</v>
      </c>
      <c r="F3" s="15"/>
    </row>
    <row r="4" spans="1:6" ht="25.5" x14ac:dyDescent="0.2">
      <c r="A4" s="21" t="s">
        <v>36</v>
      </c>
      <c r="B4" s="17" t="s">
        <v>41</v>
      </c>
      <c r="C4" s="17" t="s">
        <v>214</v>
      </c>
      <c r="D4" s="17" t="s">
        <v>215</v>
      </c>
      <c r="E4" s="17" t="s">
        <v>216</v>
      </c>
      <c r="F4" s="15"/>
    </row>
    <row r="5" spans="1:6" x14ac:dyDescent="0.2">
      <c r="A5" s="21"/>
      <c r="B5" s="20" t="s">
        <v>58</v>
      </c>
      <c r="C5" s="39" t="s">
        <v>135</v>
      </c>
      <c r="D5" s="39" t="s">
        <v>136</v>
      </c>
      <c r="E5" s="39" t="s">
        <v>137</v>
      </c>
      <c r="F5" s="15"/>
    </row>
    <row r="6" spans="1:6" x14ac:dyDescent="0.2">
      <c r="A6" s="21"/>
      <c r="B6" s="21"/>
      <c r="C6" s="21"/>
      <c r="D6" s="21"/>
      <c r="E6" s="21"/>
      <c r="F6" s="15"/>
    </row>
    <row r="7" spans="1:6" ht="14.25" customHeight="1" x14ac:dyDescent="0.2">
      <c r="A7" s="21" t="s">
        <v>60</v>
      </c>
      <c r="B7" s="20" t="s">
        <v>42</v>
      </c>
      <c r="C7" s="16" t="s">
        <v>217</v>
      </c>
      <c r="D7" s="16" t="s">
        <v>264</v>
      </c>
      <c r="E7" s="16" t="s">
        <v>218</v>
      </c>
      <c r="F7" s="15"/>
    </row>
    <row r="8" spans="1:6" x14ac:dyDescent="0.2">
      <c r="A8" s="21"/>
      <c r="B8" s="20" t="s">
        <v>43</v>
      </c>
      <c r="C8" s="20" t="s">
        <v>219</v>
      </c>
      <c r="D8" s="20" t="s">
        <v>220</v>
      </c>
      <c r="E8" s="20" t="s">
        <v>221</v>
      </c>
      <c r="F8" s="15"/>
    </row>
    <row r="9" spans="1:6" x14ac:dyDescent="0.2">
      <c r="A9" s="21"/>
      <c r="B9" s="20" t="s">
        <v>44</v>
      </c>
      <c r="C9" s="20" t="s">
        <v>222</v>
      </c>
      <c r="D9" s="20" t="s">
        <v>223</v>
      </c>
      <c r="E9" s="20" t="s">
        <v>224</v>
      </c>
      <c r="F9" s="15"/>
    </row>
    <row r="10" spans="1:6" x14ac:dyDescent="0.2">
      <c r="A10" s="21"/>
      <c r="B10" s="20" t="s">
        <v>115</v>
      </c>
      <c r="C10" s="16" t="s">
        <v>227</v>
      </c>
      <c r="D10" s="16" t="s">
        <v>226</v>
      </c>
      <c r="E10" s="16" t="s">
        <v>225</v>
      </c>
      <c r="F10" s="15"/>
    </row>
    <row r="11" spans="1:6" x14ac:dyDescent="0.2">
      <c r="A11" s="21"/>
      <c r="B11" s="20" t="s">
        <v>131</v>
      </c>
      <c r="C11" s="16" t="s">
        <v>228</v>
      </c>
      <c r="D11" s="16" t="s">
        <v>229</v>
      </c>
      <c r="E11" s="16" t="s">
        <v>230</v>
      </c>
      <c r="F11" s="15"/>
    </row>
    <row r="12" spans="1:6" x14ac:dyDescent="0.2">
      <c r="A12" s="21"/>
      <c r="B12" s="20" t="s">
        <v>132</v>
      </c>
      <c r="C12" s="16" t="s">
        <v>231</v>
      </c>
      <c r="D12" s="16" t="s">
        <v>235</v>
      </c>
      <c r="E12" s="16" t="s">
        <v>232</v>
      </c>
      <c r="F12" s="15"/>
    </row>
    <row r="13" spans="1:6" x14ac:dyDescent="0.2">
      <c r="A13" s="21"/>
      <c r="B13" s="20" t="s">
        <v>133</v>
      </c>
      <c r="C13" s="16" t="s">
        <v>236</v>
      </c>
      <c r="D13" s="16" t="s">
        <v>234</v>
      </c>
      <c r="E13" s="16" t="s">
        <v>233</v>
      </c>
      <c r="F13" s="15"/>
    </row>
    <row r="14" spans="1:6" x14ac:dyDescent="0.2">
      <c r="A14" s="21"/>
      <c r="B14" s="20" t="s">
        <v>134</v>
      </c>
      <c r="C14" s="16" t="s">
        <v>138</v>
      </c>
      <c r="D14" s="16" t="s">
        <v>146</v>
      </c>
      <c r="E14" s="16" t="s">
        <v>141</v>
      </c>
      <c r="F14" s="15"/>
    </row>
    <row r="15" spans="1:6" x14ac:dyDescent="0.2">
      <c r="A15" s="21"/>
      <c r="B15" s="20" t="s">
        <v>212</v>
      </c>
      <c r="C15" s="16" t="s">
        <v>139</v>
      </c>
      <c r="D15" s="16" t="s">
        <v>145</v>
      </c>
      <c r="E15" s="16" t="s">
        <v>142</v>
      </c>
      <c r="F15" s="15"/>
    </row>
    <row r="16" spans="1:6" x14ac:dyDescent="0.2">
      <c r="A16" s="21"/>
      <c r="B16" s="20" t="s">
        <v>213</v>
      </c>
      <c r="C16" s="16" t="s">
        <v>140</v>
      </c>
      <c r="D16" s="16" t="s">
        <v>144</v>
      </c>
      <c r="E16" s="16" t="s">
        <v>143</v>
      </c>
      <c r="F16" s="15"/>
    </row>
    <row r="17" spans="1:6" x14ac:dyDescent="0.2">
      <c r="A17" s="21"/>
      <c r="B17" s="21"/>
      <c r="C17" s="21"/>
      <c r="D17" s="21"/>
      <c r="E17" s="21"/>
      <c r="F17" s="21"/>
    </row>
    <row r="18" spans="1:6" x14ac:dyDescent="0.2">
      <c r="A18" s="21"/>
      <c r="B18" s="20" t="s">
        <v>64</v>
      </c>
      <c r="C18" s="16" t="s">
        <v>1</v>
      </c>
      <c r="D18" s="16" t="s">
        <v>112</v>
      </c>
      <c r="E18" s="16" t="s">
        <v>67</v>
      </c>
      <c r="F18" s="15"/>
    </row>
    <row r="19" spans="1:6" ht="25.5" x14ac:dyDescent="0.2">
      <c r="A19" s="21"/>
      <c r="B19" s="20" t="s">
        <v>65</v>
      </c>
      <c r="C19" s="16" t="s">
        <v>147</v>
      </c>
      <c r="D19" s="16" t="s">
        <v>148</v>
      </c>
      <c r="E19" s="16" t="s">
        <v>149</v>
      </c>
      <c r="F19" s="15"/>
    </row>
    <row r="20" spans="1:6" x14ac:dyDescent="0.2">
      <c r="A20" s="21"/>
      <c r="B20" s="15"/>
      <c r="C20" s="15"/>
      <c r="D20" s="15"/>
      <c r="E20" s="15"/>
      <c r="F20" s="15"/>
    </row>
    <row r="21" spans="1:6" x14ac:dyDescent="0.2">
      <c r="A21" s="21" t="s">
        <v>36</v>
      </c>
      <c r="B21" s="20" t="s">
        <v>45</v>
      </c>
      <c r="C21" s="16" t="s">
        <v>0</v>
      </c>
      <c r="D21" s="16" t="s">
        <v>0</v>
      </c>
      <c r="E21" s="16" t="s">
        <v>66</v>
      </c>
      <c r="F21" s="15"/>
    </row>
    <row r="22" spans="1:6" x14ac:dyDescent="0.2">
      <c r="A22" s="15"/>
      <c r="B22" s="20" t="s">
        <v>46</v>
      </c>
      <c r="C22" s="16" t="s">
        <v>6</v>
      </c>
      <c r="D22" s="16" t="s">
        <v>92</v>
      </c>
      <c r="E22" s="16" t="s">
        <v>69</v>
      </c>
      <c r="F22" s="15"/>
    </row>
    <row r="23" spans="1:6" x14ac:dyDescent="0.2">
      <c r="A23" s="15"/>
      <c r="B23" s="20" t="s">
        <v>47</v>
      </c>
      <c r="C23" s="16" t="s">
        <v>9</v>
      </c>
      <c r="D23" s="24" t="s">
        <v>93</v>
      </c>
      <c r="E23" s="16" t="s">
        <v>70</v>
      </c>
      <c r="F23" s="15"/>
    </row>
    <row r="24" spans="1:6" x14ac:dyDescent="0.2">
      <c r="A24" s="15"/>
      <c r="B24" s="20" t="s">
        <v>48</v>
      </c>
      <c r="C24" s="16" t="s">
        <v>116</v>
      </c>
      <c r="D24" s="16" t="s">
        <v>117</v>
      </c>
      <c r="E24" s="16" t="s">
        <v>118</v>
      </c>
      <c r="F24" s="15"/>
    </row>
    <row r="25" spans="1:6" x14ac:dyDescent="0.2">
      <c r="A25" s="15"/>
      <c r="B25" s="20" t="s">
        <v>49</v>
      </c>
      <c r="C25" s="20" t="s">
        <v>150</v>
      </c>
      <c r="D25" s="20" t="s">
        <v>152</v>
      </c>
      <c r="E25" s="20" t="s">
        <v>151</v>
      </c>
      <c r="F25" s="15"/>
    </row>
    <row r="26" spans="1:6" x14ac:dyDescent="0.2">
      <c r="A26" s="15"/>
      <c r="B26" s="20" t="s">
        <v>50</v>
      </c>
      <c r="C26" s="16" t="s">
        <v>10</v>
      </c>
      <c r="D26" s="16" t="s">
        <v>94</v>
      </c>
      <c r="E26" s="16" t="s">
        <v>119</v>
      </c>
      <c r="F26" s="15"/>
    </row>
    <row r="27" spans="1:6" x14ac:dyDescent="0.2">
      <c r="A27" s="15"/>
      <c r="B27" s="20" t="s">
        <v>51</v>
      </c>
      <c r="C27" s="16" t="s">
        <v>14</v>
      </c>
      <c r="D27" s="16" t="s">
        <v>95</v>
      </c>
      <c r="E27" s="16" t="s">
        <v>120</v>
      </c>
      <c r="F27" s="15"/>
    </row>
    <row r="28" spans="1:6" x14ac:dyDescent="0.2">
      <c r="A28" s="15"/>
      <c r="B28" s="20" t="s">
        <v>52</v>
      </c>
      <c r="C28" s="16" t="s">
        <v>26</v>
      </c>
      <c r="D28" s="16" t="s">
        <v>96</v>
      </c>
      <c r="E28" s="16" t="s">
        <v>121</v>
      </c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20" t="s">
        <v>179</v>
      </c>
      <c r="C30" s="16" t="s">
        <v>7</v>
      </c>
      <c r="D30" s="16" t="s">
        <v>90</v>
      </c>
      <c r="E30" s="16" t="s">
        <v>71</v>
      </c>
      <c r="F30" s="15"/>
    </row>
    <row r="31" spans="1:6" x14ac:dyDescent="0.2">
      <c r="A31" s="15"/>
      <c r="B31" s="20" t="s">
        <v>180</v>
      </c>
      <c r="C31" s="16" t="s">
        <v>8</v>
      </c>
      <c r="D31" s="16" t="s">
        <v>91</v>
      </c>
      <c r="E31" s="16" t="s">
        <v>72</v>
      </c>
      <c r="F31" s="15"/>
    </row>
    <row r="32" spans="1:6" x14ac:dyDescent="0.2">
      <c r="A32" s="15"/>
      <c r="B32" s="20" t="s">
        <v>181</v>
      </c>
      <c r="C32" s="16" t="s">
        <v>122</v>
      </c>
      <c r="D32" s="16" t="s">
        <v>122</v>
      </c>
      <c r="E32" s="16" t="s">
        <v>122</v>
      </c>
      <c r="F32" s="15"/>
    </row>
    <row r="33" spans="1:6" x14ac:dyDescent="0.2">
      <c r="A33" s="15"/>
      <c r="B33" s="20" t="s">
        <v>182</v>
      </c>
      <c r="C33" s="16" t="s">
        <v>154</v>
      </c>
      <c r="D33" s="16" t="s">
        <v>154</v>
      </c>
      <c r="E33" s="16" t="s">
        <v>154</v>
      </c>
      <c r="F33" s="15"/>
    </row>
    <row r="34" spans="1:6" x14ac:dyDescent="0.2">
      <c r="A34" s="15"/>
      <c r="B34" s="20" t="s">
        <v>183</v>
      </c>
      <c r="C34" s="16" t="s">
        <v>153</v>
      </c>
      <c r="D34" s="16" t="s">
        <v>153</v>
      </c>
      <c r="E34" s="16" t="s">
        <v>153</v>
      </c>
      <c r="F34" s="15"/>
    </row>
    <row r="35" spans="1:6" x14ac:dyDescent="0.2">
      <c r="A35" s="15"/>
      <c r="B35" s="20" t="s">
        <v>184</v>
      </c>
      <c r="C35" s="16" t="s">
        <v>123</v>
      </c>
      <c r="D35" s="16" t="s">
        <v>124</v>
      </c>
      <c r="E35" s="16" t="s">
        <v>125</v>
      </c>
      <c r="F35" s="15"/>
    </row>
    <row r="36" spans="1:6" x14ac:dyDescent="0.2">
      <c r="A36" s="15"/>
      <c r="B36" s="20" t="s">
        <v>185</v>
      </c>
      <c r="C36" s="16" t="s">
        <v>128</v>
      </c>
      <c r="D36" s="16" t="s">
        <v>127</v>
      </c>
      <c r="E36" s="16" t="s">
        <v>126</v>
      </c>
      <c r="F36" s="15"/>
    </row>
    <row r="37" spans="1:6" x14ac:dyDescent="0.2">
      <c r="A37" s="15"/>
      <c r="B37" s="20" t="s">
        <v>186</v>
      </c>
      <c r="C37" s="16" t="s">
        <v>155</v>
      </c>
      <c r="D37" s="16" t="s">
        <v>159</v>
      </c>
      <c r="E37" s="16" t="s">
        <v>163</v>
      </c>
      <c r="F37" s="15"/>
    </row>
    <row r="38" spans="1:6" x14ac:dyDescent="0.2">
      <c r="A38" s="15"/>
      <c r="B38" s="20" t="s">
        <v>187</v>
      </c>
      <c r="C38" s="16" t="s">
        <v>156</v>
      </c>
      <c r="D38" s="16" t="s">
        <v>160</v>
      </c>
      <c r="E38" s="16" t="s">
        <v>164</v>
      </c>
      <c r="F38" s="15"/>
    </row>
    <row r="39" spans="1:6" x14ac:dyDescent="0.2">
      <c r="A39" s="15"/>
      <c r="B39" s="20" t="s">
        <v>188</v>
      </c>
      <c r="C39" s="16" t="s">
        <v>157</v>
      </c>
      <c r="D39" s="16" t="s">
        <v>161</v>
      </c>
      <c r="E39" s="16" t="s">
        <v>165</v>
      </c>
      <c r="F39" s="15"/>
    </row>
    <row r="40" spans="1:6" x14ac:dyDescent="0.2">
      <c r="A40" s="15"/>
      <c r="B40" s="20" t="s">
        <v>189</v>
      </c>
      <c r="C40" s="16" t="s">
        <v>158</v>
      </c>
      <c r="D40" s="16" t="s">
        <v>162</v>
      </c>
      <c r="E40" s="16" t="s">
        <v>166</v>
      </c>
      <c r="F40" s="15"/>
    </row>
    <row r="41" spans="1:6" x14ac:dyDescent="0.2">
      <c r="A41" s="15"/>
      <c r="B41" s="20" t="s">
        <v>190</v>
      </c>
      <c r="C41" s="16" t="s">
        <v>174</v>
      </c>
      <c r="D41" s="16" t="s">
        <v>265</v>
      </c>
      <c r="E41" s="16" t="s">
        <v>266</v>
      </c>
      <c r="F41" s="15"/>
    </row>
    <row r="42" spans="1:6" x14ac:dyDescent="0.2">
      <c r="A42" s="15"/>
      <c r="B42" s="20" t="s">
        <v>191</v>
      </c>
      <c r="C42" s="16" t="s">
        <v>175</v>
      </c>
      <c r="D42" s="16" t="s">
        <v>267</v>
      </c>
      <c r="E42" s="16" t="s">
        <v>268</v>
      </c>
      <c r="F42" s="15"/>
    </row>
    <row r="43" spans="1:6" x14ac:dyDescent="0.2">
      <c r="A43" s="15"/>
      <c r="B43" s="20" t="s">
        <v>192</v>
      </c>
      <c r="C43" s="16" t="s">
        <v>176</v>
      </c>
      <c r="D43" s="16" t="s">
        <v>269</v>
      </c>
      <c r="E43" s="16" t="s">
        <v>270</v>
      </c>
      <c r="F43" s="15"/>
    </row>
    <row r="44" spans="1:6" ht="25.5" x14ac:dyDescent="0.2">
      <c r="A44" s="15"/>
      <c r="B44" s="20" t="s">
        <v>193</v>
      </c>
      <c r="C44" s="16" t="s">
        <v>177</v>
      </c>
      <c r="D44" s="16" t="s">
        <v>271</v>
      </c>
      <c r="E44" s="16" t="s">
        <v>272</v>
      </c>
      <c r="F44" s="15"/>
    </row>
    <row r="45" spans="1:6" x14ac:dyDescent="0.2">
      <c r="A45" s="15"/>
      <c r="B45" s="20" t="s">
        <v>194</v>
      </c>
      <c r="C45" s="16" t="s">
        <v>178</v>
      </c>
      <c r="D45" s="16" t="s">
        <v>273</v>
      </c>
      <c r="E45" s="16" t="s">
        <v>274</v>
      </c>
      <c r="F45" s="15"/>
    </row>
    <row r="46" spans="1:6" ht="25.5" x14ac:dyDescent="0.2">
      <c r="A46" s="15"/>
      <c r="B46" s="20" t="s">
        <v>195</v>
      </c>
      <c r="C46" s="16" t="s">
        <v>237</v>
      </c>
      <c r="D46" s="16" t="s">
        <v>246</v>
      </c>
      <c r="E46" s="16" t="s">
        <v>242</v>
      </c>
      <c r="F46" s="15"/>
    </row>
    <row r="47" spans="1:6" ht="25.5" x14ac:dyDescent="0.2">
      <c r="A47" s="15"/>
      <c r="B47" s="20" t="s">
        <v>196</v>
      </c>
      <c r="C47" s="16" t="s">
        <v>238</v>
      </c>
      <c r="D47" s="16" t="s">
        <v>247</v>
      </c>
      <c r="E47" s="16" t="s">
        <v>243</v>
      </c>
      <c r="F47" s="15"/>
    </row>
    <row r="48" spans="1:6" ht="25.5" x14ac:dyDescent="0.2">
      <c r="A48" s="15"/>
      <c r="B48" s="20" t="s">
        <v>197</v>
      </c>
      <c r="C48" s="16" t="s">
        <v>239</v>
      </c>
      <c r="D48" s="16" t="s">
        <v>248</v>
      </c>
      <c r="E48" s="16" t="s">
        <v>244</v>
      </c>
      <c r="F48" s="15"/>
    </row>
    <row r="49" spans="1:6" ht="25.5" x14ac:dyDescent="0.2">
      <c r="A49" s="15"/>
      <c r="B49" s="20" t="s">
        <v>241</v>
      </c>
      <c r="C49" s="16" t="s">
        <v>240</v>
      </c>
      <c r="D49" s="16" t="s">
        <v>249</v>
      </c>
      <c r="E49" s="16" t="s">
        <v>245</v>
      </c>
      <c r="F49" s="15"/>
    </row>
    <row r="50" spans="1:6" x14ac:dyDescent="0.2">
      <c r="A50" s="15"/>
      <c r="B50" s="20" t="s">
        <v>198</v>
      </c>
      <c r="C50" s="16" t="s">
        <v>15</v>
      </c>
      <c r="D50" s="16" t="s">
        <v>109</v>
      </c>
      <c r="E50" s="16" t="s">
        <v>76</v>
      </c>
      <c r="F50" s="15"/>
    </row>
    <row r="51" spans="1:6" x14ac:dyDescent="0.2">
      <c r="A51" s="15"/>
      <c r="B51" s="20" t="s">
        <v>199</v>
      </c>
      <c r="C51" s="16" t="s">
        <v>16</v>
      </c>
      <c r="D51" s="16" t="s">
        <v>97</v>
      </c>
      <c r="E51" s="16" t="s">
        <v>77</v>
      </c>
      <c r="F51" s="15"/>
    </row>
    <row r="52" spans="1:6" x14ac:dyDescent="0.2">
      <c r="A52" s="15"/>
      <c r="B52" s="20" t="s">
        <v>200</v>
      </c>
      <c r="C52" s="16" t="s">
        <v>17</v>
      </c>
      <c r="D52" s="16" t="s">
        <v>98</v>
      </c>
      <c r="E52" s="16" t="s">
        <v>78</v>
      </c>
      <c r="F52" s="15"/>
    </row>
    <row r="53" spans="1:6" x14ac:dyDescent="0.2">
      <c r="A53" s="15"/>
      <c r="B53" s="20" t="s">
        <v>201</v>
      </c>
      <c r="C53" s="16" t="s">
        <v>18</v>
      </c>
      <c r="D53" s="16" t="s">
        <v>99</v>
      </c>
      <c r="E53" s="16" t="s">
        <v>79</v>
      </c>
      <c r="F53" s="15"/>
    </row>
    <row r="54" spans="1:6" x14ac:dyDescent="0.2">
      <c r="A54" s="15"/>
      <c r="B54" s="20" t="s">
        <v>202</v>
      </c>
      <c r="C54" s="16" t="s">
        <v>19</v>
      </c>
      <c r="D54" s="16" t="s">
        <v>100</v>
      </c>
      <c r="E54" s="16" t="s">
        <v>80</v>
      </c>
      <c r="F54" s="15"/>
    </row>
    <row r="55" spans="1:6" x14ac:dyDescent="0.2">
      <c r="A55" s="15"/>
      <c r="B55" s="20" t="s">
        <v>203</v>
      </c>
      <c r="C55" s="16" t="s">
        <v>20</v>
      </c>
      <c r="D55" s="16" t="s">
        <v>101</v>
      </c>
      <c r="E55" s="16" t="s">
        <v>81</v>
      </c>
      <c r="F55" s="15"/>
    </row>
    <row r="56" spans="1:6" x14ac:dyDescent="0.2">
      <c r="A56" s="15"/>
      <c r="B56" s="20" t="s">
        <v>204</v>
      </c>
      <c r="C56" s="16" t="s">
        <v>21</v>
      </c>
      <c r="D56" s="16" t="s">
        <v>102</v>
      </c>
      <c r="E56" s="16" t="s">
        <v>82</v>
      </c>
      <c r="F56" s="15"/>
    </row>
    <row r="57" spans="1:6" x14ac:dyDescent="0.2">
      <c r="A57" s="15"/>
      <c r="B57" s="20" t="s">
        <v>205</v>
      </c>
      <c r="C57" s="16" t="s">
        <v>22</v>
      </c>
      <c r="D57" s="16" t="s">
        <v>103</v>
      </c>
      <c r="E57" s="16" t="s">
        <v>83</v>
      </c>
      <c r="F57" s="15"/>
    </row>
    <row r="58" spans="1:6" ht="25.5" x14ac:dyDescent="0.2">
      <c r="A58" s="15"/>
      <c r="B58" s="20" t="s">
        <v>206</v>
      </c>
      <c r="C58" s="16" t="s">
        <v>23</v>
      </c>
      <c r="D58" s="16" t="s">
        <v>104</v>
      </c>
      <c r="E58" s="16" t="s">
        <v>84</v>
      </c>
      <c r="F58" s="15"/>
    </row>
    <row r="59" spans="1:6" ht="38.25" x14ac:dyDescent="0.2">
      <c r="A59" s="15"/>
      <c r="B59" s="20" t="s">
        <v>207</v>
      </c>
      <c r="C59" s="16" t="s">
        <v>24</v>
      </c>
      <c r="D59" s="16" t="s">
        <v>105</v>
      </c>
      <c r="E59" s="16" t="s">
        <v>85</v>
      </c>
      <c r="F59" s="15"/>
    </row>
    <row r="60" spans="1:6" ht="25.5" x14ac:dyDescent="0.2">
      <c r="A60" s="15"/>
      <c r="B60" s="20" t="s">
        <v>208</v>
      </c>
      <c r="C60" s="16" t="s">
        <v>25</v>
      </c>
      <c r="D60" s="16" t="s">
        <v>106</v>
      </c>
      <c r="E60" s="16" t="s">
        <v>86</v>
      </c>
      <c r="F60" s="15"/>
    </row>
    <row r="61" spans="1:6" x14ac:dyDescent="0.2">
      <c r="A61" s="15"/>
      <c r="B61" s="20" t="s">
        <v>209</v>
      </c>
      <c r="C61" s="16" t="s">
        <v>129</v>
      </c>
      <c r="D61" s="16" t="s">
        <v>130</v>
      </c>
      <c r="E61" s="16" t="s">
        <v>87</v>
      </c>
      <c r="F61" s="15"/>
    </row>
    <row r="62" spans="1:6" x14ac:dyDescent="0.2">
      <c r="A62" s="15"/>
      <c r="B62" s="20" t="s">
        <v>210</v>
      </c>
      <c r="C62" s="16" t="s">
        <v>27</v>
      </c>
      <c r="D62" s="16" t="s">
        <v>107</v>
      </c>
      <c r="E62" s="16" t="s">
        <v>88</v>
      </c>
      <c r="F62" s="15"/>
    </row>
    <row r="63" spans="1:6" x14ac:dyDescent="0.2">
      <c r="A63" s="15"/>
      <c r="B63" s="20" t="s">
        <v>211</v>
      </c>
      <c r="C63" s="16" t="s">
        <v>28</v>
      </c>
      <c r="D63" s="16" t="s">
        <v>108</v>
      </c>
      <c r="E63" s="16" t="s">
        <v>89</v>
      </c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ht="25.5" x14ac:dyDescent="0.2">
      <c r="A65" s="21"/>
      <c r="B65" s="20" t="s">
        <v>53</v>
      </c>
      <c r="C65" s="20" t="s">
        <v>168</v>
      </c>
      <c r="D65" s="20" t="s">
        <v>170</v>
      </c>
      <c r="E65" s="20" t="s">
        <v>169</v>
      </c>
      <c r="F65" s="15"/>
    </row>
    <row r="66" spans="1:6" x14ac:dyDescent="0.2">
      <c r="A66" s="15"/>
      <c r="B66" s="20" t="s">
        <v>54</v>
      </c>
      <c r="C66" s="37" t="s">
        <v>2</v>
      </c>
      <c r="D66" s="13" t="s">
        <v>275</v>
      </c>
      <c r="E66" s="13" t="s">
        <v>276</v>
      </c>
      <c r="F66" s="15"/>
    </row>
    <row r="67" spans="1:6" x14ac:dyDescent="0.2">
      <c r="A67" s="15"/>
      <c r="B67" s="20" t="s">
        <v>55</v>
      </c>
      <c r="C67" s="37" t="s">
        <v>3</v>
      </c>
      <c r="D67" s="13" t="s">
        <v>277</v>
      </c>
      <c r="E67" s="13" t="s">
        <v>278</v>
      </c>
      <c r="F67" s="15"/>
    </row>
    <row r="68" spans="1:6" x14ac:dyDescent="0.2">
      <c r="A68" s="15"/>
      <c r="B68" s="20" t="s">
        <v>56</v>
      </c>
      <c r="C68" s="37" t="s">
        <v>4</v>
      </c>
      <c r="D68" s="13" t="s">
        <v>279</v>
      </c>
      <c r="E68" s="13" t="s">
        <v>280</v>
      </c>
      <c r="F68" s="15"/>
    </row>
    <row r="69" spans="1:6" x14ac:dyDescent="0.2">
      <c r="A69" s="15"/>
      <c r="B69" s="20" t="s">
        <v>167</v>
      </c>
      <c r="C69" s="37" t="s">
        <v>5</v>
      </c>
      <c r="D69" s="13" t="s">
        <v>281</v>
      </c>
      <c r="E69" s="13" t="s">
        <v>282</v>
      </c>
      <c r="F69" s="15"/>
    </row>
    <row r="70" spans="1:6" x14ac:dyDescent="0.2">
      <c r="A70" s="15"/>
      <c r="B70" s="15"/>
      <c r="C70" s="15"/>
      <c r="D70" s="15"/>
      <c r="E70" s="15"/>
      <c r="F70" s="15"/>
    </row>
    <row r="71" spans="1:6" x14ac:dyDescent="0.2">
      <c r="A71" s="15" t="s">
        <v>60</v>
      </c>
      <c r="B71" s="20" t="s">
        <v>59</v>
      </c>
      <c r="C71" s="16" t="s">
        <v>29</v>
      </c>
      <c r="D71" s="16" t="s">
        <v>113</v>
      </c>
      <c r="E71" s="16" t="s">
        <v>68</v>
      </c>
      <c r="F71" s="15"/>
    </row>
    <row r="72" spans="1:6" x14ac:dyDescent="0.2">
      <c r="A72" s="15" t="s">
        <v>36</v>
      </c>
      <c r="B72" s="23" t="s">
        <v>57</v>
      </c>
      <c r="C72" s="19" t="s">
        <v>261</v>
      </c>
      <c r="D72" s="19" t="s">
        <v>262</v>
      </c>
      <c r="E72" s="19" t="s">
        <v>263</v>
      </c>
      <c r="F72" s="15"/>
    </row>
    <row r="73" spans="1:6" x14ac:dyDescent="0.2">
      <c r="A73" s="15"/>
      <c r="B73" s="15"/>
      <c r="C73" s="15"/>
      <c r="D73" s="15"/>
      <c r="E73" s="15"/>
      <c r="F73" s="15"/>
    </row>
    <row r="74" spans="1:6" x14ac:dyDescent="0.2">
      <c r="A74" s="21"/>
      <c r="B74" s="22"/>
      <c r="C74" s="15"/>
      <c r="D74" s="15"/>
      <c r="E74" s="15"/>
      <c r="F74" s="15"/>
    </row>
    <row r="75" spans="1:6" ht="25.5" x14ac:dyDescent="0.2">
      <c r="A75" s="21" t="s">
        <v>61</v>
      </c>
      <c r="B75" s="20" t="s">
        <v>62</v>
      </c>
      <c r="C75" s="17" t="s">
        <v>252</v>
      </c>
      <c r="D75" s="17" t="s">
        <v>253</v>
      </c>
      <c r="E75" s="17" t="s">
        <v>254</v>
      </c>
      <c r="F75" s="15"/>
    </row>
    <row r="76" spans="1:6" x14ac:dyDescent="0.2">
      <c r="A76" s="21"/>
      <c r="B76" s="20" t="s">
        <v>63</v>
      </c>
      <c r="C76" s="39" t="s">
        <v>135</v>
      </c>
      <c r="D76" s="39" t="s">
        <v>136</v>
      </c>
      <c r="E76" s="39" t="s">
        <v>137</v>
      </c>
      <c r="F76" s="15"/>
    </row>
    <row r="77" spans="1:6" x14ac:dyDescent="0.2">
      <c r="A77" s="21"/>
      <c r="B77" s="15"/>
      <c r="C77" s="15"/>
      <c r="D77" s="15"/>
      <c r="E77" s="15"/>
      <c r="F77" s="15"/>
    </row>
    <row r="78" spans="1:6" x14ac:dyDescent="0.2">
      <c r="A78" s="21"/>
      <c r="B78" s="20" t="s">
        <v>251</v>
      </c>
      <c r="C78" s="20" t="s">
        <v>250</v>
      </c>
      <c r="D78" s="20" t="s">
        <v>220</v>
      </c>
      <c r="E78" s="20" t="s">
        <v>221</v>
      </c>
      <c r="F78" s="15"/>
    </row>
    <row r="79" spans="1:6" x14ac:dyDescent="0.2">
      <c r="A79" s="21"/>
      <c r="B79" s="15"/>
      <c r="C79" s="15"/>
      <c r="D79" s="15"/>
      <c r="E79" s="15"/>
      <c r="F79" s="15"/>
    </row>
    <row r="80" spans="1:6" x14ac:dyDescent="0.2">
      <c r="A80" s="15"/>
      <c r="B80" s="20" t="s">
        <v>173</v>
      </c>
      <c r="C80" s="16" t="s">
        <v>11</v>
      </c>
      <c r="D80" s="16" t="s">
        <v>111</v>
      </c>
      <c r="E80" s="16" t="s">
        <v>73</v>
      </c>
      <c r="F80" s="15"/>
    </row>
    <row r="81" spans="1:6" x14ac:dyDescent="0.2">
      <c r="A81" s="15"/>
      <c r="B81" s="20" t="s">
        <v>172</v>
      </c>
      <c r="C81" s="16" t="s">
        <v>12</v>
      </c>
      <c r="D81" s="16" t="s">
        <v>110</v>
      </c>
      <c r="E81" s="16" t="s">
        <v>74</v>
      </c>
      <c r="F81" s="15"/>
    </row>
    <row r="82" spans="1:6" x14ac:dyDescent="0.2">
      <c r="A82" s="15"/>
      <c r="B82" s="20" t="s">
        <v>171</v>
      </c>
      <c r="C82" s="16" t="s">
        <v>13</v>
      </c>
      <c r="D82" s="16" t="s">
        <v>110</v>
      </c>
      <c r="E82" s="16" t="s">
        <v>75</v>
      </c>
      <c r="F82" s="15"/>
    </row>
    <row r="83" spans="1:6" x14ac:dyDescent="0.2">
      <c r="A83" s="15"/>
      <c r="B83" s="15"/>
      <c r="C83" s="15"/>
      <c r="D83" s="15"/>
      <c r="E83" s="15"/>
      <c r="F83" s="15"/>
    </row>
    <row r="84" spans="1:6" ht="25.5" x14ac:dyDescent="0.2">
      <c r="A84" s="21" t="s">
        <v>255</v>
      </c>
      <c r="B84" s="20" t="s">
        <v>256</v>
      </c>
      <c r="C84" s="17" t="s">
        <v>258</v>
      </c>
      <c r="D84" s="17" t="s">
        <v>260</v>
      </c>
      <c r="E84" s="17" t="s">
        <v>259</v>
      </c>
      <c r="F84" s="15"/>
    </row>
    <row r="85" spans="1:6" x14ac:dyDescent="0.2">
      <c r="A85" s="21"/>
      <c r="B85" s="20" t="s">
        <v>257</v>
      </c>
      <c r="C85" s="39" t="s">
        <v>135</v>
      </c>
      <c r="D85" s="39" t="s">
        <v>136</v>
      </c>
      <c r="E85" s="39" t="s">
        <v>137</v>
      </c>
      <c r="F85" s="15"/>
    </row>
    <row r="86" spans="1:6" x14ac:dyDescent="0.2">
      <c r="A86" s="21"/>
      <c r="B86" s="15"/>
      <c r="C86" s="15"/>
      <c r="D86" s="15"/>
      <c r="E86" s="15"/>
      <c r="F86" s="15"/>
    </row>
    <row r="87" spans="1:6" x14ac:dyDescent="0.2">
      <c r="A87" s="15"/>
      <c r="B87" s="15"/>
      <c r="C87" s="15"/>
      <c r="D87" s="15"/>
      <c r="E87" s="15"/>
      <c r="F87" s="1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1027</Benutzerdefinierte_x0020_ID>
    <Titel_RM xmlns="9d1f6504-c754-4527-a358-047ce8521f96">Enquista da structura da la populaziun – lingua a la lavur, en la scolaziun ed a chasa, 2022</Titel_RM>
    <Titel_DE xmlns="9d1f6504-c754-4527-a358-047ce8521f96">Strukturerhebung Bevölkerung - Sprachen bei der Arbeit, in Ausbildung und zu Hause, 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lingue parlate durante il lavoro, la formazione e a casa, 2022</Titel_IT>
  </documentManagement>
</p:properties>
</file>

<file path=customXml/itemProps1.xml><?xml version="1.0" encoding="utf-8"?>
<ds:datastoreItem xmlns:ds="http://schemas.openxmlformats.org/officeDocument/2006/customXml" ds:itemID="{9D8E47BE-D25C-48E4-9F0C-B478B3B74D5C}"/>
</file>

<file path=customXml/itemProps2.xml><?xml version="1.0" encoding="utf-8"?>
<ds:datastoreItem xmlns:ds="http://schemas.openxmlformats.org/officeDocument/2006/customXml" ds:itemID="{477D8BE5-D76C-4E53-8D2E-527BE8A19476}"/>
</file>

<file path=customXml/itemProps3.xml><?xml version="1.0" encoding="utf-8"?>
<ds:datastoreItem xmlns:ds="http://schemas.openxmlformats.org/officeDocument/2006/customXml" ds:itemID="{85CEC719-5D38-4D72-AF28-0E4ECDBB9D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Arbeit</vt:lpstr>
      <vt:lpstr>Ausbildung</vt:lpstr>
      <vt:lpstr>zu Hause</vt:lpstr>
      <vt:lpstr>Uebersetzungen</vt:lpstr>
      <vt:lpstr>Arbeit!Druckbereich</vt:lpstr>
      <vt:lpstr>Ausbildung!Druckbereich</vt:lpstr>
      <vt:lpstr>'zu Hause'!Druckbereich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Sprache bei der Arbeit, in Ausbildung und zu Hause</dc:title>
  <dc:creator>Luzius.Stricker@awt.gr.ch</dc:creator>
  <cp:lastModifiedBy>Stricker Luzius</cp:lastModifiedBy>
  <cp:lastPrinted>2018-12-06T18:35:59Z</cp:lastPrinted>
  <dcterms:created xsi:type="dcterms:W3CDTF">2012-06-17T15:40:31Z</dcterms:created>
  <dcterms:modified xsi:type="dcterms:W3CDTF">2024-03-28T10:00:29Z</dcterms:modified>
  <cp:category>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